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60" yWindow="1395" windowWidth="11580" windowHeight="10875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<sst xmlns="http://schemas.openxmlformats.org/spreadsheetml/2006/main" count="163" uniqueCount="112">
  <si>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</si>
  <si>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</si>
  <si>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</si>
  <si>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</si>
  <si>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</si>
  <si>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</si>
  <si>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</si>
  <si>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</si>
  <si>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</si>
  <si>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</si>
  <si>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</si>
  <si>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</si>
  <si>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</si>
  <si>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</si>
  <si>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</si>
  <si>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</si>
  <si>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</si>
  <si>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</si>
  <si>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</si>
  <si>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Охорона здоров'я</t>
  </si>
  <si>
    <t>Видатки не віднесені до основних груп</t>
  </si>
  <si>
    <t>Прогр.розвитку земельних відносин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</si>
  <si>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</si>
  <si>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</si>
  <si>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</si>
  <si>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</si>
  <si>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</si>
  <si>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</si>
  <si>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</si>
  <si>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</si>
  <si>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</si>
  <si>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</si>
  <si>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</si>
  <si>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</si>
  <si>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</si>
  <si>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</si>
  <si>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</si>
  <si>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</si>
  <si>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</si>
  <si>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</si>
  <si>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</si>
  <si>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Назва галузі</t>
  </si>
  <si>
    <t>Субвенція районним, обласному та іншим бюджетам</t>
  </si>
  <si>
    <t>інші бюджети</t>
  </si>
  <si>
    <t>в т.ч. заробітна плата</t>
  </si>
  <si>
    <t>Теріторіальні центри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</si>
  <si>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</si>
  <si>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</si>
  <si>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</si>
  <si>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</si>
  <si>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</si>
  <si>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</si>
  <si>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</si>
  <si>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</si>
  <si>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на фінансування амбулаторного лікування хворих нефрологічного профілю</t>
  </si>
  <si>
    <t>Програма підвищення енергоефективності та зменшення споживання енергоресурсів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</si>
  <si>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</si>
  <si>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</si>
  <si>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</si>
  <si>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</si>
  <si>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</si>
  <si>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</si>
  <si>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</si>
  <si>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</si>
  <si>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</si>
  <si>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</si>
  <si>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</si>
  <si>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</si>
  <si>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</si>
  <si>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</si>
  <si>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</si>
  <si>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</si>
  <si>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</si>
  <si>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</si>
  <si>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</si>
  <si>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</si>
  <si>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</si>
  <si>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</si>
  <si>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</si>
  <si>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</si>
  <si>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</si>
  <si>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</si>
  <si>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</si>
  <si>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</si>
  <si>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</si>
  <si>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</si>
  <si>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</si>
  <si>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Природоохоронні заходи (200600, 200700)</t>
  </si>
  <si>
    <t>Програма підтримки об'єднань співвласників баготоквартирних будинків ОСББ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</si>
  <si>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</si>
  <si>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</si>
  <si>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</si>
  <si>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</si>
  <si>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</si>
  <si>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Підвищення кваліфікації кадрів</t>
  </si>
  <si>
    <t>Програма розвитку земельних відносин</t>
  </si>
  <si>
    <t>Програма впорядкуванні тимчасових споруд і зовнішньої реклами</t>
  </si>
  <si>
    <t>Субвенція обласному бюджету (250380)</t>
  </si>
  <si>
    <t>Програма забезпечення правопорядку в м. Черкаси</t>
  </si>
  <si>
    <t>Заходи запобігання і ліквідації НС</t>
  </si>
  <si>
    <t>Міськ.прогр.підтримки громадського транспорту</t>
  </si>
  <si>
    <t>Рятування на водах</t>
  </si>
  <si>
    <t>Дорожній фонд</t>
  </si>
  <si>
    <t>Обслуговування боргу</t>
  </si>
  <si>
    <t>Реверсна дотація</t>
  </si>
  <si>
    <t>Програма впорядкування тимчасових споруд і зовнішньої реклами</t>
  </si>
  <si>
    <t>Програма забезпечення виконання рішень суду</t>
  </si>
  <si>
    <t>Програма розроблення містобудівної документації</t>
  </si>
  <si>
    <t>План на 7 місяців, тис.грн.</t>
  </si>
  <si>
    <t>Відсоток виконання плану 7 місяців</t>
  </si>
  <si>
    <t>Відхилення від плану 7 місяців, тис.грн.</t>
  </si>
  <si>
    <t>Аналіз використання коштів загального фонду міського бюджету станом на 21.07.2017 року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</si>
</sst>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0.0%"/>
    <numFmt numFmtId="189" formatCode="0.0"/>
    <numFmt numFmtId="190" formatCode="#,##0.0"/>
    <numFmt numFmtId="191" formatCode="#,##0.00000"/>
  </numFmts>
  <fonts count="76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b/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9" fillId="2" borderId="0" applyNumberFormat="0" applyBorder="0" applyAlignment="0" applyProtection="0"/>
    <xf numFmtId="0" fontId="59" fillId="3" borderId="0" applyNumberFormat="0" applyBorder="0" applyAlignment="0" applyProtection="0"/>
    <xf numFmtId="0" fontId="59" fillId="4" borderId="0" applyNumberFormat="0" applyBorder="0" applyAlignment="0" applyProtection="0"/>
    <xf numFmtId="0" fontId="59" fillId="5" borderId="0" applyNumberFormat="0" applyBorder="0" applyAlignment="0" applyProtection="0"/>
    <xf numFmtId="0" fontId="59" fillId="6" borderId="0" applyNumberFormat="0" applyBorder="0" applyAlignment="0" applyProtection="0"/>
    <xf numFmtId="0" fontId="59" fillId="7" borderId="0" applyNumberFormat="0" applyBorder="0" applyAlignment="0" applyProtection="0"/>
    <xf numFmtId="0" fontId="59" fillId="8" borderId="0" applyNumberFormat="0" applyBorder="0" applyAlignment="0" applyProtection="0"/>
    <xf numFmtId="0" fontId="59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9" fillId="12" borderId="0" applyNumberFormat="0" applyBorder="0" applyAlignment="0" applyProtection="0"/>
    <xf numFmtId="0" fontId="59" fillId="13" borderId="0" applyNumberFormat="0" applyBorder="0" applyAlignment="0" applyProtection="0"/>
    <xf numFmtId="0" fontId="60" fillId="14" borderId="0" applyNumberFormat="0" applyBorder="0" applyAlignment="0" applyProtection="0"/>
    <xf numFmtId="0" fontId="60" fillId="15" borderId="0" applyNumberFormat="0" applyBorder="0" applyAlignment="0" applyProtection="0"/>
    <xf numFmtId="0" fontId="60" fillId="10" borderId="0" applyNumberFormat="0" applyBorder="0" applyAlignment="0" applyProtection="0"/>
    <xf numFmtId="0" fontId="60" fillId="16" borderId="0" applyNumberFormat="0" applyBorder="0" applyAlignment="0" applyProtection="0"/>
    <xf numFmtId="0" fontId="60" fillId="17" borderId="0" applyNumberFormat="0" applyBorder="0" applyAlignment="0" applyProtection="0"/>
    <xf numFmtId="0" fontId="60" fillId="18" borderId="0" applyNumberFormat="0" applyBorder="0" applyAlignment="0" applyProtection="0"/>
    <xf numFmtId="0" fontId="60" fillId="19" borderId="0" applyNumberFormat="0" applyBorder="0" applyAlignment="0" applyProtection="0"/>
    <xf numFmtId="0" fontId="60" fillId="20" borderId="0" applyNumberFormat="0" applyBorder="0" applyAlignment="0" applyProtection="0"/>
    <xf numFmtId="0" fontId="60" fillId="21" borderId="0" applyNumberFormat="0" applyBorder="0" applyAlignment="0" applyProtection="0"/>
    <xf numFmtId="0" fontId="60" fillId="22" borderId="0" applyNumberFormat="0" applyBorder="0" applyAlignment="0" applyProtection="0"/>
    <xf numFmtId="0" fontId="60" fillId="23" borderId="0" applyNumberFormat="0" applyBorder="0" applyAlignment="0" applyProtection="0"/>
    <xf numFmtId="0" fontId="60" fillId="24" borderId="0" applyNumberFormat="0" applyBorder="0" applyAlignment="0" applyProtection="0"/>
    <xf numFmtId="0" fontId="61" fillId="25" borderId="1" applyNumberFormat="0" applyAlignment="0" applyProtection="0"/>
    <xf numFmtId="0" fontId="62" fillId="26" borderId="2" applyNumberFormat="0" applyAlignment="0" applyProtection="0"/>
    <xf numFmtId="0" fontId="63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4" fillId="0" borderId="3" applyNumberFormat="0" applyFill="0" applyAlignment="0" applyProtection="0"/>
    <xf numFmtId="0" fontId="65" fillId="0" borderId="4" applyNumberFormat="0" applyFill="0" applyAlignment="0" applyProtection="0"/>
    <xf numFmtId="0" fontId="66" fillId="0" borderId="5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6" applyNumberFormat="0" applyFill="0" applyAlignment="0" applyProtection="0"/>
    <xf numFmtId="0" fontId="68" fillId="27" borderId="7" applyNumberFormat="0" applyAlignment="0" applyProtection="0"/>
    <xf numFmtId="0" fontId="69" fillId="0" borderId="0" applyNumberFormat="0" applyFill="0" applyBorder="0" applyAlignment="0" applyProtection="0"/>
    <xf numFmtId="0" fontId="70" fillId="28" borderId="0" applyNumberFormat="0" applyBorder="0" applyAlignment="0" applyProtection="0"/>
    <xf numFmtId="0" fontId="2" fillId="0" borderId="0">
      <alignment/>
      <protection/>
    </xf>
    <xf numFmtId="0" fontId="71" fillId="29" borderId="0" applyNumberFormat="0" applyBorder="0" applyAlignment="0" applyProtection="0"/>
    <xf numFmtId="0" fontId="7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73" fillId="0" borderId="9" applyNumberFormat="0" applyFill="0" applyAlignment="0" applyProtection="0"/>
    <xf numFmtId="0" fontId="7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5" fillId="31" borderId="0" applyNumberFormat="0" applyBorder="0" applyAlignment="0" applyProtection="0"/>
  </cellStyleXfs>
  <cellXfs count="138">
    <xf numFmtId="0" fontId="0" fillId="0" borderId="0" xfId="0" applyAlignment="1">
      <alignment/>
    </xf>
    <xf numFmtId="189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89" fontId="4" fillId="32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89" fontId="6" fillId="0" borderId="0" xfId="0" applyNumberFormat="1" applyFont="1" applyAlignment="1">
      <alignment/>
    </xf>
    <xf numFmtId="189" fontId="4" fillId="0" borderId="10" xfId="0" applyNumberFormat="1" applyFont="1" applyFill="1" applyBorder="1" applyAlignment="1">
      <alignment/>
    </xf>
    <xf numFmtId="189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32" borderId="13" xfId="0" applyFont="1" applyFill="1" applyBorder="1" applyAlignment="1">
      <alignment wrapText="1"/>
    </xf>
    <xf numFmtId="189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89" fontId="5" fillId="0" borderId="10" xfId="0" applyNumberFormat="1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89" fontId="5" fillId="32" borderId="11" xfId="0" applyNumberFormat="1" applyFont="1" applyFill="1" applyBorder="1" applyAlignment="1">
      <alignment/>
    </xf>
    <xf numFmtId="189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32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0" fontId="5" fillId="32" borderId="15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89" fontId="3" fillId="0" borderId="10" xfId="0" applyNumberFormat="1" applyFont="1" applyFill="1" applyBorder="1" applyAlignment="1">
      <alignment horizontal="center"/>
    </xf>
    <xf numFmtId="189" fontId="4" fillId="32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32" borderId="11" xfId="0" applyNumberFormat="1" applyFont="1" applyFill="1" applyBorder="1" applyAlignment="1">
      <alignment/>
    </xf>
    <xf numFmtId="189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89" fontId="0" fillId="0" borderId="0" xfId="0" applyNumberFormat="1" applyFont="1" applyFill="1" applyBorder="1" applyAlignment="1">
      <alignment/>
    </xf>
    <xf numFmtId="189" fontId="5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wrapText="1"/>
    </xf>
    <xf numFmtId="190" fontId="3" fillId="0" borderId="12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4" fillId="32" borderId="13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/>
    </xf>
    <xf numFmtId="190" fontId="4" fillId="32" borderId="11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/>
    </xf>
    <xf numFmtId="190" fontId="3" fillId="0" borderId="10" xfId="0" applyNumberFormat="1" applyFont="1" applyFill="1" applyBorder="1" applyAlignment="1">
      <alignment horizontal="right"/>
    </xf>
    <xf numFmtId="190" fontId="4" fillId="32" borderId="11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wrapText="1"/>
    </xf>
    <xf numFmtId="190" fontId="5" fillId="0" borderId="12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wrapText="1"/>
    </xf>
    <xf numFmtId="190" fontId="5" fillId="0" borderId="13" xfId="0" applyNumberFormat="1" applyFont="1" applyFill="1" applyBorder="1" applyAlignment="1">
      <alignment wrapText="1"/>
    </xf>
    <xf numFmtId="190" fontId="4" fillId="0" borderId="13" xfId="0" applyNumberFormat="1" applyFont="1" applyFill="1" applyBorder="1" applyAlignment="1">
      <alignment/>
    </xf>
    <xf numFmtId="190" fontId="4" fillId="0" borderId="11" xfId="0" applyNumberFormat="1" applyFont="1" applyFill="1" applyBorder="1" applyAlignment="1">
      <alignment/>
    </xf>
    <xf numFmtId="190" fontId="3" fillId="0" borderId="12" xfId="0" applyNumberFormat="1" applyFont="1" applyFill="1" applyBorder="1" applyAlignment="1">
      <alignment horizontal="right"/>
    </xf>
    <xf numFmtId="190" fontId="5" fillId="0" borderId="12" xfId="0" applyNumberFormat="1" applyFont="1" applyFill="1" applyBorder="1" applyAlignment="1">
      <alignment horizontal="left" wrapText="1"/>
    </xf>
    <xf numFmtId="190" fontId="4" fillId="0" borderId="12" xfId="0" applyNumberFormat="1" applyFont="1" applyFill="1" applyBorder="1" applyAlignment="1">
      <alignment/>
    </xf>
    <xf numFmtId="190" fontId="4" fillId="0" borderId="10" xfId="0" applyNumberFormat="1" applyFont="1" applyFill="1" applyBorder="1" applyAlignment="1">
      <alignment/>
    </xf>
    <xf numFmtId="190" fontId="5" fillId="0" borderId="13" xfId="0" applyNumberFormat="1" applyFont="1" applyFill="1" applyBorder="1" applyAlignment="1">
      <alignment/>
    </xf>
    <xf numFmtId="190" fontId="5" fillId="0" borderId="11" xfId="0" applyNumberFormat="1" applyFont="1" applyFill="1" applyBorder="1" applyAlignment="1">
      <alignment/>
    </xf>
    <xf numFmtId="190" fontId="7" fillId="0" borderId="12" xfId="0" applyNumberFormat="1" applyFont="1" applyFill="1" applyBorder="1" applyAlignment="1">
      <alignment wrapText="1"/>
    </xf>
    <xf numFmtId="190" fontId="5" fillId="0" borderId="15" xfId="0" applyNumberFormat="1" applyFont="1" applyFill="1" applyBorder="1" applyAlignment="1">
      <alignment wrapText="1"/>
    </xf>
    <xf numFmtId="190" fontId="4" fillId="0" borderId="15" xfId="0" applyNumberFormat="1" applyFont="1" applyFill="1" applyBorder="1" applyAlignment="1">
      <alignment/>
    </xf>
    <xf numFmtId="190" fontId="4" fillId="0" borderId="14" xfId="0" applyNumberFormat="1" applyFont="1" applyFill="1" applyBorder="1" applyAlignment="1">
      <alignment/>
    </xf>
    <xf numFmtId="190" fontId="5" fillId="32" borderId="15" xfId="0" applyNumberFormat="1" applyFont="1" applyFill="1" applyBorder="1" applyAlignment="1">
      <alignment wrapText="1"/>
    </xf>
    <xf numFmtId="190" fontId="4" fillId="32" borderId="15" xfId="0" applyNumberFormat="1" applyFont="1" applyFill="1" applyBorder="1" applyAlignment="1">
      <alignment/>
    </xf>
    <xf numFmtId="190" fontId="4" fillId="32" borderId="14" xfId="0" applyNumberFormat="1" applyFont="1" applyFill="1" applyBorder="1" applyAlignment="1">
      <alignment/>
    </xf>
    <xf numFmtId="190" fontId="5" fillId="0" borderId="14" xfId="0" applyNumberFormat="1" applyFont="1" applyFill="1" applyBorder="1" applyAlignment="1">
      <alignment wrapText="1"/>
    </xf>
    <xf numFmtId="190" fontId="4" fillId="0" borderId="17" xfId="0" applyNumberFormat="1" applyFont="1" applyFill="1" applyBorder="1" applyAlignment="1">
      <alignment/>
    </xf>
    <xf numFmtId="190" fontId="5" fillId="0" borderId="10" xfId="0" applyNumberFormat="1" applyFont="1" applyFill="1" applyBorder="1" applyAlignment="1">
      <alignment wrapText="1"/>
    </xf>
    <xf numFmtId="190" fontId="3" fillId="0" borderId="10" xfId="0" applyNumberFormat="1" applyFont="1" applyFill="1" applyBorder="1" applyAlignment="1">
      <alignment wrapText="1"/>
    </xf>
    <xf numFmtId="190" fontId="3" fillId="0" borderId="17" xfId="0" applyNumberFormat="1" applyFont="1" applyFill="1" applyBorder="1" applyAlignment="1">
      <alignment/>
    </xf>
    <xf numFmtId="190" fontId="5" fillId="0" borderId="17" xfId="0" applyNumberFormat="1" applyFont="1" applyFill="1" applyBorder="1" applyAlignment="1">
      <alignment/>
    </xf>
    <xf numFmtId="190" fontId="5" fillId="0" borderId="16" xfId="0" applyNumberFormat="1" applyFont="1" applyFill="1" applyBorder="1" applyAlignment="1">
      <alignment/>
    </xf>
    <xf numFmtId="190" fontId="4" fillId="0" borderId="18" xfId="0" applyNumberFormat="1" applyFont="1" applyFill="1" applyBorder="1" applyAlignment="1">
      <alignment/>
    </xf>
    <xf numFmtId="190" fontId="5" fillId="32" borderId="11" xfId="0" applyNumberFormat="1" applyFont="1" applyFill="1" applyBorder="1" applyAlignment="1">
      <alignment/>
    </xf>
    <xf numFmtId="0" fontId="5" fillId="32" borderId="16" xfId="0" applyFont="1" applyFill="1" applyBorder="1" applyAlignment="1">
      <alignment wrapText="1"/>
    </xf>
    <xf numFmtId="190" fontId="4" fillId="32" borderId="16" xfId="0" applyNumberFormat="1" applyFont="1" applyFill="1" applyBorder="1" applyAlignment="1">
      <alignment/>
    </xf>
    <xf numFmtId="189" fontId="4" fillId="32" borderId="16" xfId="0" applyNumberFormat="1" applyFont="1" applyFill="1" applyBorder="1" applyAlignment="1">
      <alignment/>
    </xf>
    <xf numFmtId="189" fontId="3" fillId="0" borderId="14" xfId="0" applyNumberFormat="1" applyFont="1" applyFill="1" applyBorder="1" applyAlignment="1">
      <alignment/>
    </xf>
    <xf numFmtId="189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90" fontId="3" fillId="0" borderId="14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 wrapText="1"/>
    </xf>
    <xf numFmtId="190" fontId="3" fillId="0" borderId="14" xfId="0" applyNumberFormat="1" applyFont="1" applyFill="1" applyBorder="1" applyAlignment="1">
      <alignment wrapText="1"/>
    </xf>
    <xf numFmtId="188" fontId="0" fillId="0" borderId="0" xfId="0" applyNumberFormat="1" applyFont="1" applyFill="1" applyBorder="1" applyAlignment="1">
      <alignment/>
    </xf>
    <xf numFmtId="191" fontId="12" fillId="0" borderId="0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/>
    </xf>
    <xf numFmtId="189" fontId="3" fillId="0" borderId="10" xfId="0" applyNumberFormat="1" applyFont="1" applyFill="1" applyBorder="1" applyAlignment="1">
      <alignment horizontal="right"/>
    </xf>
    <xf numFmtId="190" fontId="13" fillId="0" borderId="12" xfId="0" applyNumberFormat="1" applyFont="1" applyFill="1" applyBorder="1" applyAlignment="1">
      <alignment/>
    </xf>
    <xf numFmtId="189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90" fontId="13" fillId="0" borderId="12" xfId="0" applyNumberFormat="1" applyFont="1" applyFill="1" applyBorder="1" applyAlignment="1">
      <alignment wrapText="1"/>
    </xf>
    <xf numFmtId="190" fontId="4" fillId="32" borderId="13" xfId="0" applyNumberFormat="1" applyFont="1" applyFill="1" applyBorder="1" applyAlignment="1">
      <alignment vertical="center" wrapText="1"/>
    </xf>
    <xf numFmtId="189" fontId="4" fillId="33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90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89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90" fontId="13" fillId="0" borderId="10" xfId="0" applyNumberFormat="1" applyFont="1" applyFill="1" applyBorder="1" applyAlignment="1">
      <alignment/>
    </xf>
    <xf numFmtId="189" fontId="4" fillId="32" borderId="14" xfId="0" applyNumberFormat="1" applyFont="1" applyFill="1" applyBorder="1" applyAlignment="1">
      <alignment/>
    </xf>
    <xf numFmtId="189" fontId="4" fillId="32" borderId="19" xfId="0" applyNumberFormat="1" applyFont="1" applyFill="1" applyBorder="1" applyAlignment="1">
      <alignment/>
    </xf>
    <xf numFmtId="0" fontId="5" fillId="32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89" fontId="4" fillId="32" borderId="15" xfId="0" applyNumberFormat="1" applyFont="1" applyFill="1" applyBorder="1" applyAlignment="1">
      <alignment/>
    </xf>
    <xf numFmtId="190" fontId="4" fillId="32" borderId="22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 horizontal="right"/>
    </xf>
    <xf numFmtId="190" fontId="3" fillId="0" borderId="21" xfId="0" applyNumberFormat="1" applyFont="1" applyFill="1" applyBorder="1" applyAlignment="1">
      <alignment wrapText="1"/>
    </xf>
    <xf numFmtId="190" fontId="3" fillId="0" borderId="23" xfId="0" applyNumberFormat="1" applyFont="1" applyFill="1" applyBorder="1" applyAlignment="1">
      <alignment horizontal="right"/>
    </xf>
    <xf numFmtId="190" fontId="3" fillId="0" borderId="24" xfId="0" applyNumberFormat="1" applyFont="1" applyFill="1" applyBorder="1" applyAlignment="1">
      <alignment/>
    </xf>
    <xf numFmtId="189" fontId="3" fillId="0" borderId="21" xfId="0" applyNumberFormat="1" applyFont="1" applyFill="1" applyBorder="1" applyAlignment="1">
      <alignment/>
    </xf>
    <xf numFmtId="189" fontId="3" fillId="0" borderId="25" xfId="0" applyNumberFormat="1" applyFont="1" applyFill="1" applyBorder="1" applyAlignment="1">
      <alignment/>
    </xf>
    <xf numFmtId="189" fontId="3" fillId="0" borderId="23" xfId="0" applyNumberFormat="1" applyFont="1" applyFill="1" applyBorder="1" applyAlignment="1">
      <alignment/>
    </xf>
    <xf numFmtId="189" fontId="3" fillId="33" borderId="10" xfId="0" applyNumberFormat="1" applyFont="1" applyFill="1" applyBorder="1" applyAlignment="1">
      <alignment/>
    </xf>
    <xf numFmtId="190" fontId="0" fillId="0" borderId="10" xfId="0" applyNumberFormat="1" applyFont="1" applyFill="1" applyBorder="1" applyAlignment="1">
      <alignment/>
    </xf>
    <xf numFmtId="190" fontId="4" fillId="32" borderId="19" xfId="0" applyNumberFormat="1" applyFont="1" applyFill="1" applyBorder="1" applyAlignment="1">
      <alignment/>
    </xf>
    <xf numFmtId="190" fontId="3" fillId="0" borderId="26" xfId="0" applyNumberFormat="1" applyFont="1" applyFill="1" applyBorder="1" applyAlignment="1">
      <alignment/>
    </xf>
    <xf numFmtId="190" fontId="3" fillId="0" borderId="16" xfId="0" applyNumberFormat="1" applyFont="1" applyFill="1" applyBorder="1" applyAlignment="1">
      <alignment/>
    </xf>
    <xf numFmtId="189" fontId="35" fillId="0" borderId="10" xfId="0" applyNumberFormat="1" applyFont="1" applyFill="1" applyBorder="1" applyAlignment="1">
      <alignment/>
    </xf>
    <xf numFmtId="0" fontId="5" fillId="0" borderId="18" xfId="0" applyFont="1" applyFill="1" applyBorder="1" applyAlignment="1">
      <alignment wrapText="1"/>
    </xf>
    <xf numFmtId="190" fontId="4" fillId="0" borderId="16" xfId="0" applyNumberFormat="1" applyFont="1" applyFill="1" applyBorder="1" applyAlignment="1">
      <alignment/>
    </xf>
    <xf numFmtId="190" fontId="5" fillId="32" borderId="13" xfId="0" applyNumberFormat="1" applyFont="1" applyFill="1" applyBorder="1" applyAlignment="1">
      <alignment horizontal="right" wrapText="1"/>
    </xf>
    <xf numFmtId="190" fontId="5" fillId="32" borderId="20" xfId="0" applyNumberFormat="1" applyFont="1" applyFill="1" applyBorder="1" applyAlignment="1">
      <alignment horizontal="right" wrapText="1"/>
    </xf>
    <xf numFmtId="190" fontId="5" fillId="0" borderId="0" xfId="0" applyNumberFormat="1" applyFont="1" applyFill="1" applyAlignment="1">
      <alignment/>
    </xf>
    <xf numFmtId="190" fontId="0" fillId="0" borderId="0" xfId="0" applyNumberFormat="1" applyFont="1" applyFill="1" applyAlignment="1">
      <alignment wrapText="1"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">
    <dxf>
      <font>
        <color indexed="10"/>
      </font>
    </dxf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405"/>
          <c:w val="0.858"/>
          <c:h val="0.6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фінансування'!$C$90:$C$94</c:f>
              <c:numCache>
                <c:ptCount val="4"/>
                <c:pt idx="0">
                  <c:v>158254.9</c:v>
                </c:pt>
                <c:pt idx="1">
                  <c:v>147735.7</c:v>
                </c:pt>
                <c:pt idx="2">
                  <c:v>2620.6</c:v>
                </c:pt>
                <c:pt idx="3">
                  <c:v>7898.599999999982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фінансування'!$A$90:$A$94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фінансування'!$D$90:$D$94</c:f>
              <c:numCache>
                <c:ptCount val="4"/>
                <c:pt idx="0">
                  <c:v>59475.30000000001</c:v>
                </c:pt>
                <c:pt idx="1">
                  <c:v>54954.80000000001</c:v>
                </c:pt>
                <c:pt idx="2">
                  <c:v>1243.5000000000002</c:v>
                </c:pt>
                <c:pt idx="3">
                  <c:v>3277</c:v>
                </c:pt>
              </c:numCache>
            </c:numRef>
          </c:val>
          <c:shape val="box"/>
        </c:ser>
        <c:shape val="box"/>
        <c:axId val="39528046"/>
        <c:axId val="20208095"/>
      </c:bar3DChart>
      <c:catAx>
        <c:axId val="395280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0208095"/>
        <c:crosses val="autoZero"/>
        <c:auto val="1"/>
        <c:lblOffset val="100"/>
        <c:tickLblSkip val="1"/>
        <c:noMultiLvlLbl val="0"/>
      </c:catAx>
      <c:valAx>
        <c:axId val="2020809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280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4675"/>
          <c:w val="0.8435"/>
          <c:h val="0.66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638939.4999999999</c:v>
                </c:pt>
                <c:pt idx="1">
                  <c:v>243536.9</c:v>
                </c:pt>
                <c:pt idx="2">
                  <c:v>497314.5</c:v>
                </c:pt>
                <c:pt idx="3">
                  <c:v>92.5</c:v>
                </c:pt>
                <c:pt idx="4">
                  <c:v>27461.5</c:v>
                </c:pt>
                <c:pt idx="5">
                  <c:v>80900.5</c:v>
                </c:pt>
                <c:pt idx="6">
                  <c:v>14028.6</c:v>
                </c:pt>
                <c:pt idx="7">
                  <c:v>19141.899999999885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359152.2</c:v>
                </c:pt>
                <c:pt idx="1">
                  <c:v>138981.7</c:v>
                </c:pt>
                <c:pt idx="2">
                  <c:v>284681.69999999995</c:v>
                </c:pt>
                <c:pt idx="3">
                  <c:v>23.1</c:v>
                </c:pt>
                <c:pt idx="4">
                  <c:v>17705</c:v>
                </c:pt>
                <c:pt idx="5">
                  <c:v>44981.3</c:v>
                </c:pt>
                <c:pt idx="6">
                  <c:v>6823.9</c:v>
                </c:pt>
                <c:pt idx="7">
                  <c:v>4937.20000000005</c:v>
                </c:pt>
              </c:numCache>
            </c:numRef>
          </c:val>
          <c:shape val="box"/>
        </c:ser>
        <c:shape val="box"/>
        <c:axId val="47655128"/>
        <c:axId val="26242969"/>
      </c:bar3DChart>
      <c:catAx>
        <c:axId val="476551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6242969"/>
        <c:crosses val="autoZero"/>
        <c:auto val="1"/>
        <c:lblOffset val="100"/>
        <c:tickLblSkip val="1"/>
        <c:noMultiLvlLbl val="0"/>
      </c:catAx>
      <c:valAx>
        <c:axId val="262429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5512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455"/>
          <c:w val="0.9295"/>
          <c:h val="0.666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3"/>
                <c:pt idx="0">
                  <c:v>362954.1</c:v>
                </c:pt>
                <c:pt idx="1">
                  <c:v>239505.5</c:v>
                </c:pt>
                <c:pt idx="2">
                  <c:v>362954.1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3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3"/>
                <c:pt idx="0">
                  <c:v>200638.7</c:v>
                </c:pt>
                <c:pt idx="1">
                  <c:v>129108.90000000002</c:v>
                </c:pt>
                <c:pt idx="2">
                  <c:v>200638.7</c:v>
                </c:pt>
              </c:numCache>
            </c:numRef>
          </c:val>
          <c:shape val="box"/>
        </c:ser>
        <c:shape val="box"/>
        <c:axId val="34860130"/>
        <c:axId val="45305715"/>
      </c:bar3DChart>
      <c:catAx>
        <c:axId val="3486013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305715"/>
        <c:crosses val="autoZero"/>
        <c:auto val="1"/>
        <c:lblOffset val="100"/>
        <c:tickLblSkip val="1"/>
        <c:noMultiLvlLbl val="0"/>
      </c:catAx>
      <c:valAx>
        <c:axId val="4530571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86013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4775"/>
          <c:w val="0.87025"/>
          <c:h val="0.595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64549.8</c:v>
                </c:pt>
                <c:pt idx="1">
                  <c:v>52731.799999999996</c:v>
                </c:pt>
                <c:pt idx="2">
                  <c:v>2945.3</c:v>
                </c:pt>
                <c:pt idx="3">
                  <c:v>856.1</c:v>
                </c:pt>
                <c:pt idx="4">
                  <c:v>80.8</c:v>
                </c:pt>
                <c:pt idx="5">
                  <c:v>7935.8000000000075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35439.39999999999</c:v>
                </c:pt>
                <c:pt idx="1">
                  <c:v>29613.8</c:v>
                </c:pt>
                <c:pt idx="2">
                  <c:v>1513.6</c:v>
                </c:pt>
                <c:pt idx="3">
                  <c:v>348.1</c:v>
                </c:pt>
                <c:pt idx="4">
                  <c:v>25.5</c:v>
                </c:pt>
                <c:pt idx="5">
                  <c:v>3938.3999999999874</c:v>
                </c:pt>
              </c:numCache>
            </c:numRef>
          </c:val>
          <c:shape val="box"/>
        </c:ser>
        <c:shape val="box"/>
        <c:axId val="5098252"/>
        <c:axId val="45884269"/>
      </c:bar3DChart>
      <c:catAx>
        <c:axId val="50982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884269"/>
        <c:crosses val="autoZero"/>
        <c:auto val="1"/>
        <c:lblOffset val="100"/>
        <c:tickLblSkip val="1"/>
        <c:noMultiLvlLbl val="0"/>
      </c:catAx>
      <c:valAx>
        <c:axId val="4588426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9825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455"/>
          <c:w val="0.86375"/>
          <c:h val="0.641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фінансування'!$C$51:$C$57</c:f>
              <c:numCache>
                <c:ptCount val="7"/>
                <c:pt idx="0">
                  <c:v>23911.899999999998</c:v>
                </c:pt>
                <c:pt idx="1">
                  <c:v>15249.4</c:v>
                </c:pt>
                <c:pt idx="2">
                  <c:v>13</c:v>
                </c:pt>
                <c:pt idx="3">
                  <c:v>810.2</c:v>
                </c:pt>
                <c:pt idx="4">
                  <c:v>1062.7</c:v>
                </c:pt>
                <c:pt idx="5">
                  <c:v>518.9</c:v>
                </c:pt>
                <c:pt idx="6">
                  <c:v>6257.699999999999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фінансування'!$A$51:$A$57</c:f>
              <c:strCache>
                <c:ptCount val="7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фінансування'!$D$51:$D$57</c:f>
              <c:numCache>
                <c:ptCount val="7"/>
                <c:pt idx="0">
                  <c:v>12514.699999999999</c:v>
                </c:pt>
                <c:pt idx="1">
                  <c:v>7884</c:v>
                </c:pt>
                <c:pt idx="3">
                  <c:v>336.1999999999999</c:v>
                </c:pt>
                <c:pt idx="4">
                  <c:v>498.60000000000014</c:v>
                </c:pt>
                <c:pt idx="5">
                  <c:v>240</c:v>
                </c:pt>
                <c:pt idx="6">
                  <c:v>3555.8999999999987</c:v>
                </c:pt>
              </c:numCache>
            </c:numRef>
          </c:val>
          <c:shape val="box"/>
        </c:ser>
        <c:shape val="box"/>
        <c:axId val="10305238"/>
        <c:axId val="25638279"/>
      </c:bar3DChart>
      <c:catAx>
        <c:axId val="10305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638279"/>
        <c:crosses val="autoZero"/>
        <c:auto val="1"/>
        <c:lblOffset val="100"/>
        <c:tickLblSkip val="2"/>
        <c:noMultiLvlLbl val="0"/>
      </c:catAx>
      <c:valAx>
        <c:axId val="2563827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30523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4325"/>
          <c:w val="0.8775"/>
          <c:h val="0.659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фінансування'!$C$59:$C$64</c:f>
              <c:numCache>
                <c:ptCount val="6"/>
                <c:pt idx="0">
                  <c:v>7716.1</c:v>
                </c:pt>
                <c:pt idx="1">
                  <c:v>2560.7000000000003</c:v>
                </c:pt>
                <c:pt idx="2">
                  <c:v>343.70000000000005</c:v>
                </c:pt>
                <c:pt idx="3">
                  <c:v>412.90000000000003</c:v>
                </c:pt>
                <c:pt idx="4">
                  <c:v>3707.1</c:v>
                </c:pt>
                <c:pt idx="5">
                  <c:v>691.7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фінансування'!$A$59:$A$64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фінансування'!$D$59:$D$64</c:f>
              <c:numCache>
                <c:ptCount val="6"/>
                <c:pt idx="0">
                  <c:v>2041.7000000000003</c:v>
                </c:pt>
                <c:pt idx="1">
                  <c:v>1335.1000000000001</c:v>
                </c:pt>
                <c:pt idx="2">
                  <c:v>190.79999999999998</c:v>
                </c:pt>
                <c:pt idx="3">
                  <c:v>205.49999999999997</c:v>
                </c:pt>
                <c:pt idx="4">
                  <c:v>89.8</c:v>
                </c:pt>
                <c:pt idx="5">
                  <c:v>220.50000000000014</c:v>
                </c:pt>
              </c:numCache>
            </c:numRef>
          </c:val>
          <c:shape val="box"/>
        </c:ser>
        <c:shape val="box"/>
        <c:axId val="29417920"/>
        <c:axId val="63434689"/>
      </c:bar3DChart>
      <c:catAx>
        <c:axId val="294179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434689"/>
        <c:crosses val="autoZero"/>
        <c:auto val="1"/>
        <c:lblOffset val="100"/>
        <c:tickLblSkip val="1"/>
        <c:noMultiLvlLbl val="0"/>
      </c:catAx>
      <c:valAx>
        <c:axId val="634346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4179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13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1"/>
          <c:w val="0.85725"/>
          <c:h val="0.67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фінансування'!$C$95</c:f>
              <c:numCache>
                <c:ptCount val="1"/>
                <c:pt idx="0">
                  <c:v>65535.100000000006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фінансування'!$A$95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фінансування'!$D$95</c:f>
              <c:numCache>
                <c:ptCount val="1"/>
                <c:pt idx="0">
                  <c:v>34464.1</c:v>
                </c:pt>
              </c:numCache>
            </c:numRef>
          </c:val>
          <c:shape val="box"/>
        </c:ser>
        <c:shape val="box"/>
        <c:axId val="34041290"/>
        <c:axId val="37936155"/>
      </c:bar3DChart>
      <c:catAx>
        <c:axId val="3404129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7936155"/>
        <c:crosses val="autoZero"/>
        <c:auto val="1"/>
        <c:lblOffset val="100"/>
        <c:tickLblSkip val="1"/>
        <c:noMultiLvlLbl val="0"/>
      </c:catAx>
      <c:valAx>
        <c:axId val="3793615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404129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5825"/>
          <c:w val="0.851"/>
          <c:h val="0.59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фінансування'!$C$59,'аналіз фінансування'!$C$90,'аналіз фінансування'!$C$95)</c:f>
              <c:numCache>
                <c:ptCount val="7"/>
                <c:pt idx="0">
                  <c:v>638939.4999999999</c:v>
                </c:pt>
                <c:pt idx="1">
                  <c:v>362954.1</c:v>
                </c:pt>
                <c:pt idx="2">
                  <c:v>64549.8</c:v>
                </c:pt>
                <c:pt idx="3">
                  <c:v>23911.899999999998</c:v>
                </c:pt>
                <c:pt idx="4">
                  <c:v>7716.1</c:v>
                </c:pt>
                <c:pt idx="5">
                  <c:v>158254.9</c:v>
                </c:pt>
                <c:pt idx="6">
                  <c:v>65535.100000000006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фінансування'!$A$59,'аналіз фінансування'!$A$90,'аналіз фінансування'!$A$95)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фінансування'!$D$59,'аналіз фінансування'!$D$90,'аналіз фінансування'!$D$95)</c:f>
              <c:numCache>
                <c:ptCount val="7"/>
                <c:pt idx="0">
                  <c:v>359152.2</c:v>
                </c:pt>
                <c:pt idx="1">
                  <c:v>200638.7</c:v>
                </c:pt>
                <c:pt idx="2">
                  <c:v>35439.39999999999</c:v>
                </c:pt>
                <c:pt idx="3">
                  <c:v>12514.699999999999</c:v>
                </c:pt>
                <c:pt idx="4">
                  <c:v>2041.7000000000003</c:v>
                </c:pt>
                <c:pt idx="5">
                  <c:v>59475.30000000001</c:v>
                </c:pt>
                <c:pt idx="6">
                  <c:v>34464.1</c:v>
                </c:pt>
              </c:numCache>
            </c:numRef>
          </c:val>
          <c:shape val="box"/>
        </c:ser>
        <c:shape val="box"/>
        <c:axId val="5881076"/>
        <c:axId val="52929685"/>
      </c:bar3DChart>
      <c:catAx>
        <c:axId val="58810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929685"/>
        <c:crosses val="autoZero"/>
        <c:auto val="1"/>
        <c:lblOffset val="100"/>
        <c:tickLblSkip val="1"/>
        <c:noMultiLvlLbl val="0"/>
      </c:catAx>
      <c:valAx>
        <c:axId val="529296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10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8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405"/>
          <c:w val="0.84125"/>
          <c:h val="0.661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фінансування'!$C$152:$C$157</c:f>
              <c:numCache>
                <c:ptCount val="6"/>
                <c:pt idx="0">
                  <c:v>727911</c:v>
                </c:pt>
                <c:pt idx="1">
                  <c:v>102323.1</c:v>
                </c:pt>
                <c:pt idx="2">
                  <c:v>28689.7</c:v>
                </c:pt>
                <c:pt idx="3">
                  <c:v>29512.3</c:v>
                </c:pt>
                <c:pt idx="4">
                  <c:v>106.9</c:v>
                </c:pt>
                <c:pt idx="5">
                  <c:v>991152.5999999995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фінансування'!$A$152:$A$157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фінансування'!$D$152:$D$157</c:f>
              <c:numCache>
                <c:ptCount val="6"/>
                <c:pt idx="0">
                  <c:v>384881.99999999994</c:v>
                </c:pt>
                <c:pt idx="1">
                  <c:v>54635.6</c:v>
                </c:pt>
                <c:pt idx="2">
                  <c:v>18269.3</c:v>
                </c:pt>
                <c:pt idx="3">
                  <c:v>12157.9</c:v>
                </c:pt>
                <c:pt idx="4">
                  <c:v>23.900000000000002</c:v>
                </c:pt>
                <c:pt idx="5">
                  <c:v>428408.1</c:v>
                </c:pt>
              </c:numCache>
            </c:numRef>
          </c:val>
          <c:shape val="box"/>
        </c:ser>
        <c:shape val="box"/>
        <c:axId val="6605118"/>
        <c:axId val="59446063"/>
      </c:bar3DChart>
      <c:catAx>
        <c:axId val="66051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46063"/>
        <c:crosses val="autoZero"/>
        <c:auto val="1"/>
        <c:lblOffset val="100"/>
        <c:tickLblSkip val="1"/>
        <c:noMultiLvlLbl val="0"/>
      </c:catAx>
      <c:valAx>
        <c:axId val="594460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60511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25"/>
          <c:y val="0.9107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6"/>
  <sheetViews>
    <sheetView tabSelected="1" zoomScale="80" zoomScaleNormal="80" zoomScalePageLayoutView="0" workbookViewId="0" topLeftCell="A1">
      <pane xSplit="1" ySplit="5" topLeftCell="B135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2" sqref="A2"/>
    </sheetView>
  </sheetViews>
  <sheetFormatPr defaultColWidth="9.00390625" defaultRowHeight="12.75"/>
  <cols>
    <col min="1" max="1" width="66.875" style="29" customWidth="1"/>
    <col min="2" max="2" width="19.00390625" style="29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1" t="s">
        <v>111</v>
      </c>
      <c r="B1" s="131"/>
      <c r="C1" s="131"/>
      <c r="D1" s="131"/>
      <c r="E1" s="131"/>
      <c r="F1" s="131"/>
      <c r="G1" s="131"/>
      <c r="H1" s="131"/>
      <c r="I1" s="131"/>
    </row>
    <row r="2" spans="1:8" ht="9.75" customHeight="1" thickBot="1">
      <c r="A2" s="21"/>
      <c r="B2" s="21"/>
      <c r="C2" s="10"/>
      <c r="D2" s="10"/>
      <c r="E2" s="10"/>
      <c r="F2" s="10"/>
      <c r="G2" s="10"/>
      <c r="H2" s="10"/>
    </row>
    <row r="3" spans="1:9" ht="29.25" customHeight="1">
      <c r="A3" s="135" t="s">
        <v>41</v>
      </c>
      <c r="B3" s="132" t="s">
        <v>108</v>
      </c>
      <c r="C3" s="132" t="s">
        <v>90</v>
      </c>
      <c r="D3" s="132" t="s">
        <v>23</v>
      </c>
      <c r="E3" s="132" t="s">
        <v>22</v>
      </c>
      <c r="F3" s="132" t="s">
        <v>109</v>
      </c>
      <c r="G3" s="132" t="s">
        <v>92</v>
      </c>
      <c r="H3" s="132" t="s">
        <v>110</v>
      </c>
      <c r="I3" s="132" t="s">
        <v>91</v>
      </c>
    </row>
    <row r="4" spans="1:9" ht="24.75" customHeight="1">
      <c r="A4" s="136"/>
      <c r="B4" s="133"/>
      <c r="C4" s="133"/>
      <c r="D4" s="133"/>
      <c r="E4" s="133"/>
      <c r="F4" s="133"/>
      <c r="G4" s="133"/>
      <c r="H4" s="133"/>
      <c r="I4" s="133"/>
    </row>
    <row r="5" spans="1:9" ht="39" customHeight="1" thickBot="1">
      <c r="A5" s="137"/>
      <c r="B5" s="134"/>
      <c r="C5" s="134"/>
      <c r="D5" s="134"/>
      <c r="E5" s="134"/>
      <c r="F5" s="134"/>
      <c r="G5" s="134"/>
      <c r="H5" s="134"/>
      <c r="I5" s="134"/>
    </row>
    <row r="6" spans="1:9" ht="18.75" thickBot="1">
      <c r="A6" s="22" t="s">
        <v>27</v>
      </c>
      <c r="B6" s="45">
        <v>408502.5</v>
      </c>
      <c r="C6" s="46">
        <f>625865.1-190.4-316.9+47.1+50+198+5366.4+2952+4818.2+150</f>
        <v>638939.4999999999</v>
      </c>
      <c r="D6" s="47">
        <f>13522.8+199.8+351+3.4+1.2+14658+9356.3+1168.4+403.4+43.4+23+194.4+502.3+461.6+16471.9+946.1+4113.7+1906.3+1145.7+13071.9+14499.5+2217+39.1+0.3+3404.9+3295.8+35.7+414.5+17321.2+49.6+892.3+881.9+3049.4+879.6+2137.7+1.1+113.2+23136.9+2610.9+142.4+2.7-0.3+2656.1+417.8+15.6+508.1+4161.5+10062.1+8571.6+148.7+636.7+56+784.8+595+869.5+10293.3+13742.9+140.3+0.1+827.7+1236.3+265+1268.8+15534.8+1302.5+286+428.4+1552.3+442.8+543+160.5+19088.9+16858.4+0.5-0.4+9378.9+533.8+67.6+218+1759.2+23001.7+12551.4+270+11.5+368.1+465.7+88.7+344.2+50+8771.1+1063.2+22747.5+0.7-2-1.1+117.9+1001.8+145.8+258.5+281.6+150.9+90.4+6968.6+422+814.3+1+19.2+40.1+26.3</f>
        <v>359152.2</v>
      </c>
      <c r="E6" s="3">
        <f>D6/D151*100</f>
        <v>39.977902367915114</v>
      </c>
      <c r="F6" s="3">
        <f>D6/B6*100</f>
        <v>87.91921714065397</v>
      </c>
      <c r="G6" s="3">
        <f aca="true" t="shared" si="0" ref="G6:G43">D6/C6*100</f>
        <v>56.2106740935566</v>
      </c>
      <c r="H6" s="47">
        <f>B6-D6</f>
        <v>49350.29999999999</v>
      </c>
      <c r="I6" s="47">
        <f aca="true" t="shared" si="1" ref="I6:I43">C6-D6</f>
        <v>279787.2999999999</v>
      </c>
    </row>
    <row r="7" spans="1:9" s="37" customFormat="1" ht="18.75">
      <c r="A7" s="104" t="s">
        <v>82</v>
      </c>
      <c r="B7" s="97">
        <f>159608.6+45</f>
        <v>159653.6</v>
      </c>
      <c r="C7" s="94">
        <f>243287.4+47.1+202.4</f>
        <v>243536.9</v>
      </c>
      <c r="D7" s="105">
        <f>6699.4+11261.7+10.2+8073.8+9792.3+0.1+0.8+7352+6.6+10108.4-0.1+7942.1+9848.6-0.1+7861.7+17351.9+0.1+8976.7+21107.4+3648.1+8478-0.1+422+40.1</f>
        <v>138981.7</v>
      </c>
      <c r="E7" s="95">
        <f>D7/D6*100</f>
        <v>38.697159588608955</v>
      </c>
      <c r="F7" s="95">
        <f>D7/B7*100</f>
        <v>87.0520301452645</v>
      </c>
      <c r="G7" s="95">
        <f>D7/C7*100</f>
        <v>57.06802542037778</v>
      </c>
      <c r="H7" s="105">
        <f>B7-D7</f>
        <v>20671.899999999994</v>
      </c>
      <c r="I7" s="105">
        <f t="shared" si="1"/>
        <v>104555.19999999998</v>
      </c>
    </row>
    <row r="8" spans="1:9" ht="18">
      <c r="A8" s="23" t="s">
        <v>3</v>
      </c>
      <c r="B8" s="42">
        <v>318712.2</v>
      </c>
      <c r="C8" s="43">
        <f>487771.7+47.1+4992.2+4503.5</f>
        <v>497314.5</v>
      </c>
      <c r="D8" s="44">
        <f>12945+14658+9353.4+10.2+0.1+7+16015+13071.9+6973.3+1906+3.4+7.6+13882.5+6.6+747.5+21101.8+2656.1+15.6+10047+6403+9848.6+12369.9+15042.4+0.7+17351.9+16553.3+0.1+9378.9+22855.5+11721.1+270+8478+22599.8+2+989.5+16.6+1.8+422+6968.6</f>
        <v>284681.69999999995</v>
      </c>
      <c r="E8" s="1">
        <f>D8/D6*100</f>
        <v>79.26491888397173</v>
      </c>
      <c r="F8" s="1">
        <f>D8/B8*100</f>
        <v>89.32249847981971</v>
      </c>
      <c r="G8" s="1">
        <f t="shared" si="0"/>
        <v>57.243796430628905</v>
      </c>
      <c r="H8" s="44">
        <f>B8-D8</f>
        <v>34030.50000000006</v>
      </c>
      <c r="I8" s="44">
        <f t="shared" si="1"/>
        <v>212632.80000000005</v>
      </c>
    </row>
    <row r="9" spans="1:9" ht="18">
      <c r="A9" s="23" t="s">
        <v>2</v>
      </c>
      <c r="B9" s="42">
        <v>51.9</v>
      </c>
      <c r="C9" s="43">
        <v>92.5</v>
      </c>
      <c r="D9" s="44">
        <f>2.5+4.3+3.3+7+0.4+1.3+1.6+1.3+1.5-0.1</f>
        <v>23.1</v>
      </c>
      <c r="E9" s="12">
        <f>D9/D6*100</f>
        <v>0.006431813587665619</v>
      </c>
      <c r="F9" s="119">
        <f>D9/B9*100</f>
        <v>44.50867052023122</v>
      </c>
      <c r="G9" s="1">
        <f t="shared" si="0"/>
        <v>24.972972972972972</v>
      </c>
      <c r="H9" s="44">
        <f aca="true" t="shared" si="2" ref="H9:H43">B9-D9</f>
        <v>28.799999999999997</v>
      </c>
      <c r="I9" s="44">
        <f t="shared" si="1"/>
        <v>69.4</v>
      </c>
    </row>
    <row r="10" spans="1:9" ht="18">
      <c r="A10" s="23" t="s">
        <v>1</v>
      </c>
      <c r="B10" s="42">
        <v>18497.6</v>
      </c>
      <c r="C10" s="43">
        <f>27822.4-190.4-170.5</f>
        <v>27461.5</v>
      </c>
      <c r="D10" s="48">
        <f>577.8+199.8+74.7+2.9+214.2+13.4+43.4+23+50.5+482.2+461.6+80.5+165.5+636+126.3+890.8+56.1+6.4+310.6+696.5+21.5+413.5+205.4+11.4+138.6+464+46.3+91.5+423.6+320.5+131.4+1.4-0.2+414.9+354.8+710.5+15.1+69.4+70.2+27.7+56+270+285.7+197.8+280.3+27-0.1+1021.5+165.5+347.2+151.6+529.6+272.9+413.9+572.8+139.4+499.7+159.8+295.7+243.4+0.2+263+1167.5+18.8+773.9+10.5+3.7+87.8+8.4+0.8+111.3+0.3+12.6+133.2+9.7+6.4+88.6+28+6.9</f>
        <v>17705</v>
      </c>
      <c r="E10" s="1">
        <f>D10/D6*100</f>
        <v>4.929664916433757</v>
      </c>
      <c r="F10" s="1">
        <f aca="true" t="shared" si="3" ref="F10:F41">D10/B10*100</f>
        <v>95.71511979932532</v>
      </c>
      <c r="G10" s="1">
        <f t="shared" si="0"/>
        <v>64.47207909254774</v>
      </c>
      <c r="H10" s="44">
        <f t="shared" si="2"/>
        <v>792.5999999999985</v>
      </c>
      <c r="I10" s="44">
        <f t="shared" si="1"/>
        <v>9756.5</v>
      </c>
    </row>
    <row r="11" spans="1:9" ht="18">
      <c r="A11" s="23" t="s">
        <v>0</v>
      </c>
      <c r="B11" s="42">
        <f>52506.2-45</f>
        <v>52461.2</v>
      </c>
      <c r="C11" s="43">
        <v>80900.5</v>
      </c>
      <c r="D11" s="49">
        <f>143.9+390+0.1+142.7+13.1+169.2+704.4+3378.9+1906.3+468.5+6301.9+20.7+31.8+0.1+3059.4+2301.7+3149.2+438.7+2370.2+711.7+2057.8+893.1+2232.6+125.5+3192.3+1926.4+62.4+643.2+81.8+374+224.4+1074.6+1.3+774.7+205.1+99.5+800.2+37.4+750.1+11+129.2+176.3+12.3+1143.6+44.2-0.1+230.3+1.4+210.1+478.9+1.7+0.5+11.1+12.6+0.3+35.7+40.8+536.6+50+0.7+12.3+66+113.7+68.2+112.3+193.8+1+1.6+26.3</f>
        <v>44981.3</v>
      </c>
      <c r="E11" s="1">
        <f>D11/D6*100</f>
        <v>12.524300282721365</v>
      </c>
      <c r="F11" s="1">
        <f t="shared" si="3"/>
        <v>85.74203411283007</v>
      </c>
      <c r="G11" s="1">
        <f t="shared" si="0"/>
        <v>55.600768845680804</v>
      </c>
      <c r="H11" s="44">
        <f t="shared" si="2"/>
        <v>7479.899999999994</v>
      </c>
      <c r="I11" s="44">
        <f t="shared" si="1"/>
        <v>35919.2</v>
      </c>
    </row>
    <row r="12" spans="1:9" ht="18">
      <c r="A12" s="23" t="s">
        <v>14</v>
      </c>
      <c r="B12" s="42">
        <v>8027.8</v>
      </c>
      <c r="C12" s="43">
        <f>14045.5-16.9</f>
        <v>14028.6</v>
      </c>
      <c r="D12" s="44">
        <f>276.3+3.4+1.2+766.5+1.2+207.2+488.1+284.1+207.8+0.1+1.2+2.8+9+434.7+164.8+490.2+0.8+3.6+1.2+150.2+3.6+534.8+237.6+35.2+0.2+10.9+298.8+1.2+661.3+35.2+0.5+0.1+44.4+1.2+436.4+226+367.5+10+125.1+50.5+1.3+9.1+238.6</f>
        <v>6823.9</v>
      </c>
      <c r="E12" s="1">
        <f>D12/D6*100</f>
        <v>1.9000022831546066</v>
      </c>
      <c r="F12" s="1">
        <f t="shared" si="3"/>
        <v>85.00336331248909</v>
      </c>
      <c r="G12" s="1">
        <f t="shared" si="0"/>
        <v>48.642772621644355</v>
      </c>
      <c r="H12" s="44">
        <f t="shared" si="2"/>
        <v>1203.9000000000005</v>
      </c>
      <c r="I12" s="44">
        <f t="shared" si="1"/>
        <v>7204.700000000001</v>
      </c>
    </row>
    <row r="13" spans="1:9" ht="18.75" thickBot="1">
      <c r="A13" s="23" t="s">
        <v>28</v>
      </c>
      <c r="B13" s="43">
        <f>B6-B8-B9-B10-B11-B12</f>
        <v>10751.799999999992</v>
      </c>
      <c r="C13" s="43">
        <f>C6-C8-C9-C10-C11-C12</f>
        <v>19141.899999999885</v>
      </c>
      <c r="D13" s="43">
        <f>D6-D8-D9-D10-D11-D12</f>
        <v>4937.20000000005</v>
      </c>
      <c r="E13" s="1">
        <f>D13/D6*100</f>
        <v>1.3746818201308666</v>
      </c>
      <c r="F13" s="1">
        <f t="shared" si="3"/>
        <v>45.91975297159595</v>
      </c>
      <c r="G13" s="1">
        <f t="shared" si="0"/>
        <v>25.792632915228264</v>
      </c>
      <c r="H13" s="44">
        <f t="shared" si="2"/>
        <v>5814.599999999942</v>
      </c>
      <c r="I13" s="44">
        <f t="shared" si="1"/>
        <v>14204.699999999835</v>
      </c>
    </row>
    <row r="14" spans="1:13" s="37" customFormat="1" ht="18.75" customHeight="1" hidden="1">
      <c r="A14" s="96" t="s">
        <v>62</v>
      </c>
      <c r="B14" s="94"/>
      <c r="C14" s="94"/>
      <c r="D14" s="94"/>
      <c r="E14" s="95"/>
      <c r="F14" s="95" t="e">
        <f>D14/B14*100</f>
        <v>#DIV/0!</v>
      </c>
      <c r="G14" s="95" t="e">
        <f>D14/C14*100</f>
        <v>#DIV/0!</v>
      </c>
      <c r="H14" s="105">
        <f>B14-D14</f>
        <v>0</v>
      </c>
      <c r="I14" s="105">
        <f>C14-D14</f>
        <v>0</v>
      </c>
      <c r="K14" s="11"/>
      <c r="L14" s="11"/>
      <c r="M14" s="11"/>
    </row>
    <row r="15" spans="1:13" s="37" customFormat="1" ht="18.75" customHeight="1" hidden="1">
      <c r="A15" s="96" t="s">
        <v>59</v>
      </c>
      <c r="B15" s="94"/>
      <c r="C15" s="94"/>
      <c r="D15" s="94"/>
      <c r="E15" s="95"/>
      <c r="F15" s="95" t="e">
        <f>D15/B15*100</f>
        <v>#DIV/0!</v>
      </c>
      <c r="G15" s="95" t="e">
        <f>D15/C15*100</f>
        <v>#DIV/0!</v>
      </c>
      <c r="H15" s="105">
        <f>B15-D15</f>
        <v>0</v>
      </c>
      <c r="I15" s="105">
        <f>C15-D15</f>
        <v>0</v>
      </c>
      <c r="K15" s="11"/>
      <c r="L15" s="11"/>
      <c r="M15" s="11"/>
    </row>
    <row r="16" spans="1:13" s="37" customFormat="1" ht="19.5" hidden="1" thickBot="1">
      <c r="A16" s="96" t="s">
        <v>60</v>
      </c>
      <c r="B16" s="94"/>
      <c r="C16" s="94"/>
      <c r="D16" s="94"/>
      <c r="E16" s="95"/>
      <c r="F16" s="95" t="e">
        <f>D16/B16*100</f>
        <v>#DIV/0!</v>
      </c>
      <c r="G16" s="95" t="e">
        <f>D16/C16*100</f>
        <v>#DIV/0!</v>
      </c>
      <c r="H16" s="105">
        <f>B16-D16</f>
        <v>0</v>
      </c>
      <c r="I16" s="105">
        <f>C16-D16</f>
        <v>0</v>
      </c>
      <c r="K16" s="11"/>
      <c r="L16" s="11"/>
      <c r="M16" s="11"/>
    </row>
    <row r="17" spans="1:13" s="37" customFormat="1" ht="19.5" hidden="1" thickBot="1">
      <c r="A17" s="96" t="s">
        <v>61</v>
      </c>
      <c r="B17" s="94"/>
      <c r="C17" s="94"/>
      <c r="D17" s="94"/>
      <c r="E17" s="95"/>
      <c r="F17" s="95" t="e">
        <f>D17/B17*100</f>
        <v>#DIV/0!</v>
      </c>
      <c r="G17" s="95" t="e">
        <f>D17/C17*100</f>
        <v>#DIV/0!</v>
      </c>
      <c r="H17" s="105">
        <f>B17-D17</f>
        <v>0</v>
      </c>
      <c r="I17" s="105">
        <f>C17-D17</f>
        <v>0</v>
      </c>
      <c r="K17" s="11"/>
      <c r="L17" s="11"/>
      <c r="M17" s="11"/>
    </row>
    <row r="18" spans="1:9" ht="18.75" thickBot="1">
      <c r="A18" s="22" t="s">
        <v>19</v>
      </c>
      <c r="B18" s="45">
        <v>235242.5</v>
      </c>
      <c r="C18" s="46">
        <f>329127.1+600+14307.6+200+1333.8+15842.2+1513.4+30</f>
        <v>362954.1</v>
      </c>
      <c r="D18" s="47">
        <f>7750.2+16091.8+509.8+21.4+337.2+206.3+9326.4+708.9+873+242.1+3327.1+2.3+17653.4+33.8-2.1+533.8+30.7+490.1+11915.5+3423.1+24.3+167.7+3429.8+14147.8+57.6+1.8+36.5+3469.9+24.5+9514.8+2039.4+634+1548+13955+0.1+398.3+903+11114.4+342.6+1567+8098.2+8184.5+2770.2+13.8+1016.9+9915.8+1.4+1307.4+84.3+18046.3+999.4+43.6+0.7+1050.3+10878.7+151.1+885.5+273.8+65.5</f>
        <v>200638.7</v>
      </c>
      <c r="E18" s="3">
        <f>D18/D151*100</f>
        <v>22.333468540149305</v>
      </c>
      <c r="F18" s="3">
        <f>D18/B18*100</f>
        <v>85.29015802841748</v>
      </c>
      <c r="G18" s="3">
        <f t="shared" si="0"/>
        <v>55.27935901536861</v>
      </c>
      <c r="H18" s="47">
        <f>B18-D18</f>
        <v>34603.79999999999</v>
      </c>
      <c r="I18" s="47">
        <f t="shared" si="1"/>
        <v>162315.39999999997</v>
      </c>
    </row>
    <row r="19" spans="1:13" s="37" customFormat="1" ht="18.75">
      <c r="A19" s="104" t="s">
        <v>83</v>
      </c>
      <c r="B19" s="97">
        <v>140223.5</v>
      </c>
      <c r="C19" s="94">
        <f>238249.5+1256</f>
        <v>239505.5</v>
      </c>
      <c r="D19" s="105">
        <f>7750.2+9045.4-324.4+287.3+8839.2+63.1+167.7+672.4+2.3+8064+287.9+29.4+0.1+353.7+16.6+490.1+8886.5+888+91.8+1141.4+7667.3+57.6+1.8+36.5-0.1+486.8+9514.8+831.1+1390.3+7339.1+50.1+262.3+9505.1+342.6+775.5+7463+6.8+203.4+13.8+367.4+9915.8+1.4+774.1+84.3+12899.7+65.6-0.1+468.6+10878.7+885.5+1.9+65.5</f>
        <v>129108.90000000002</v>
      </c>
      <c r="E19" s="95">
        <f>D19/D18*100</f>
        <v>64.34895162299198</v>
      </c>
      <c r="F19" s="95">
        <f t="shared" si="3"/>
        <v>92.07365384546814</v>
      </c>
      <c r="G19" s="95">
        <f t="shared" si="0"/>
        <v>53.90644473717724</v>
      </c>
      <c r="H19" s="105">
        <f t="shared" si="2"/>
        <v>11114.599999999977</v>
      </c>
      <c r="I19" s="105">
        <f t="shared" si="1"/>
        <v>110396.59999999998</v>
      </c>
      <c r="K19" s="11"/>
      <c r="L19" s="11"/>
      <c r="M19" s="11"/>
    </row>
    <row r="20" spans="1:9" ht="18" hidden="1">
      <c r="A20" s="23" t="s">
        <v>5</v>
      </c>
      <c r="B20" s="42"/>
      <c r="C20" s="43"/>
      <c r="D20" s="44"/>
      <c r="E20" s="1">
        <f>D20/D18*100</f>
        <v>0</v>
      </c>
      <c r="F20" s="1" t="e">
        <f t="shared" si="3"/>
        <v>#DIV/0!</v>
      </c>
      <c r="G20" s="1" t="e">
        <f t="shared" si="0"/>
        <v>#DIV/0!</v>
      </c>
      <c r="H20" s="44">
        <f t="shared" si="2"/>
        <v>0</v>
      </c>
      <c r="I20" s="44">
        <f t="shared" si="1"/>
        <v>0</v>
      </c>
    </row>
    <row r="21" spans="1:9" ht="18" hidden="1">
      <c r="A21" s="23" t="s">
        <v>2</v>
      </c>
      <c r="B21" s="42"/>
      <c r="C21" s="43"/>
      <c r="D21" s="44"/>
      <c r="E21" s="1">
        <f>D21/D18*100</f>
        <v>0</v>
      </c>
      <c r="F21" s="1" t="e">
        <f t="shared" si="3"/>
        <v>#DIV/0!</v>
      </c>
      <c r="G21" s="1" t="e">
        <f t="shared" si="0"/>
        <v>#DIV/0!</v>
      </c>
      <c r="H21" s="44">
        <f t="shared" si="2"/>
        <v>0</v>
      </c>
      <c r="I21" s="44">
        <f t="shared" si="1"/>
        <v>0</v>
      </c>
    </row>
    <row r="22" spans="1:9" ht="18" hidden="1">
      <c r="A22" s="23" t="s">
        <v>1</v>
      </c>
      <c r="B22" s="42"/>
      <c r="C22" s="43"/>
      <c r="D22" s="44"/>
      <c r="E22" s="1">
        <f>D22/D18*100</f>
        <v>0</v>
      </c>
      <c r="F22" s="1" t="e">
        <f t="shared" si="3"/>
        <v>#DIV/0!</v>
      </c>
      <c r="G22" s="1" t="e">
        <f t="shared" si="0"/>
        <v>#DIV/0!</v>
      </c>
      <c r="H22" s="44">
        <f t="shared" si="2"/>
        <v>0</v>
      </c>
      <c r="I22" s="44">
        <f t="shared" si="1"/>
        <v>0</v>
      </c>
    </row>
    <row r="23" spans="1:9" ht="18" hidden="1">
      <c r="A23" s="23" t="s">
        <v>0</v>
      </c>
      <c r="B23" s="42"/>
      <c r="C23" s="43"/>
      <c r="D23" s="44"/>
      <c r="E23" s="1">
        <f>D23/D18*100</f>
        <v>0</v>
      </c>
      <c r="F23" s="1" t="e">
        <f t="shared" si="3"/>
        <v>#DIV/0!</v>
      </c>
      <c r="G23" s="1" t="e">
        <f t="shared" si="0"/>
        <v>#DIV/0!</v>
      </c>
      <c r="H23" s="44">
        <f t="shared" si="2"/>
        <v>0</v>
      </c>
      <c r="I23" s="44">
        <f t="shared" si="1"/>
        <v>0</v>
      </c>
    </row>
    <row r="24" spans="1:9" ht="18" hidden="1">
      <c r="A24" s="23" t="s">
        <v>14</v>
      </c>
      <c r="B24" s="42"/>
      <c r="C24" s="43"/>
      <c r="D24" s="44"/>
      <c r="E24" s="1">
        <f>D24/D18*100</f>
        <v>0</v>
      </c>
      <c r="F24" s="1" t="e">
        <f t="shared" si="3"/>
        <v>#DIV/0!</v>
      </c>
      <c r="G24" s="1" t="e">
        <f t="shared" si="0"/>
        <v>#DIV/0!</v>
      </c>
      <c r="H24" s="44">
        <f t="shared" si="2"/>
        <v>0</v>
      </c>
      <c r="I24" s="44">
        <f t="shared" si="1"/>
        <v>0</v>
      </c>
    </row>
    <row r="25" spans="1:9" ht="18.75" thickBot="1">
      <c r="A25" s="23" t="s">
        <v>28</v>
      </c>
      <c r="B25" s="43">
        <f>B18</f>
        <v>235242.5</v>
      </c>
      <c r="C25" s="43">
        <f>C18</f>
        <v>362954.1</v>
      </c>
      <c r="D25" s="43">
        <f>D18</f>
        <v>200638.7</v>
      </c>
      <c r="E25" s="1">
        <f>D25/D18*100</f>
        <v>100</v>
      </c>
      <c r="F25" s="1">
        <f t="shared" si="3"/>
        <v>85.29015802841748</v>
      </c>
      <c r="G25" s="1">
        <f t="shared" si="0"/>
        <v>55.27935901536861</v>
      </c>
      <c r="H25" s="44">
        <f t="shared" si="2"/>
        <v>34603.79999999999</v>
      </c>
      <c r="I25" s="44">
        <f t="shared" si="1"/>
        <v>162315.39999999997</v>
      </c>
    </row>
    <row r="26" spans="1:9" ht="57" hidden="1" thickBot="1">
      <c r="A26" s="96" t="s">
        <v>70</v>
      </c>
      <c r="B26" s="43"/>
      <c r="C26" s="43"/>
      <c r="D26" s="43"/>
      <c r="E26" s="1"/>
      <c r="F26" s="1" t="e">
        <f t="shared" si="3"/>
        <v>#DIV/0!</v>
      </c>
      <c r="G26" s="1" t="e">
        <f t="shared" si="0"/>
        <v>#DIV/0!</v>
      </c>
      <c r="H26" s="44">
        <f t="shared" si="2"/>
        <v>0</v>
      </c>
      <c r="I26" s="44">
        <f t="shared" si="1"/>
        <v>0</v>
      </c>
    </row>
    <row r="27" spans="1:9" ht="36.75" customHeight="1" hidden="1">
      <c r="A27" s="96" t="s">
        <v>71</v>
      </c>
      <c r="B27" s="43"/>
      <c r="C27" s="43"/>
      <c r="D27" s="43"/>
      <c r="E27" s="1"/>
      <c r="F27" s="1" t="e">
        <f t="shared" si="3"/>
        <v>#DIV/0!</v>
      </c>
      <c r="G27" s="1" t="e">
        <f t="shared" si="0"/>
        <v>#DIV/0!</v>
      </c>
      <c r="H27" s="44">
        <f t="shared" si="2"/>
        <v>0</v>
      </c>
      <c r="I27" s="44">
        <f t="shared" si="1"/>
        <v>0</v>
      </c>
    </row>
    <row r="28" spans="1:9" ht="19.5" hidden="1" thickBot="1">
      <c r="A28" s="96" t="s">
        <v>72</v>
      </c>
      <c r="B28" s="43"/>
      <c r="C28" s="43"/>
      <c r="D28" s="43"/>
      <c r="E28" s="1"/>
      <c r="F28" s="1" t="e">
        <f t="shared" si="3"/>
        <v>#DIV/0!</v>
      </c>
      <c r="G28" s="1" t="e">
        <f t="shared" si="0"/>
        <v>#DIV/0!</v>
      </c>
      <c r="H28" s="44">
        <f t="shared" si="2"/>
        <v>0</v>
      </c>
      <c r="I28" s="44">
        <f t="shared" si="1"/>
        <v>0</v>
      </c>
    </row>
    <row r="29" spans="1:9" ht="39.75" customHeight="1" hidden="1">
      <c r="A29" s="96" t="s">
        <v>73</v>
      </c>
      <c r="B29" s="43"/>
      <c r="C29" s="43"/>
      <c r="D29" s="43"/>
      <c r="E29" s="1"/>
      <c r="F29" s="1" t="e">
        <f t="shared" si="3"/>
        <v>#DIV/0!</v>
      </c>
      <c r="G29" s="1" t="e">
        <f t="shared" si="0"/>
        <v>#DIV/0!</v>
      </c>
      <c r="H29" s="44">
        <f t="shared" si="2"/>
        <v>0</v>
      </c>
      <c r="I29" s="44">
        <f t="shared" si="1"/>
        <v>0</v>
      </c>
    </row>
    <row r="30" spans="1:9" ht="37.5" customHeight="1" hidden="1">
      <c r="A30" s="96" t="s">
        <v>74</v>
      </c>
      <c r="B30" s="43"/>
      <c r="C30" s="43"/>
      <c r="D30" s="43"/>
      <c r="E30" s="1"/>
      <c r="F30" s="1" t="e">
        <f>D30/B30*100</f>
        <v>#DIV/0!</v>
      </c>
      <c r="G30" s="1" t="e">
        <f t="shared" si="0"/>
        <v>#DIV/0!</v>
      </c>
      <c r="H30" s="44">
        <f t="shared" si="2"/>
        <v>0</v>
      </c>
      <c r="I30" s="44">
        <f t="shared" si="1"/>
        <v>0</v>
      </c>
    </row>
    <row r="31" spans="1:9" ht="36" customHeight="1" hidden="1">
      <c r="A31" s="96" t="s">
        <v>75</v>
      </c>
      <c r="B31" s="43"/>
      <c r="C31" s="43"/>
      <c r="D31" s="43"/>
      <c r="E31" s="1"/>
      <c r="F31" s="1" t="e">
        <f t="shared" si="3"/>
        <v>#DIV/0!</v>
      </c>
      <c r="G31" s="1" t="e">
        <f t="shared" si="0"/>
        <v>#DIV/0!</v>
      </c>
      <c r="H31" s="44">
        <f t="shared" si="2"/>
        <v>0</v>
      </c>
      <c r="I31" s="44">
        <f t="shared" si="1"/>
        <v>0</v>
      </c>
    </row>
    <row r="32" spans="1:9" ht="19.5" hidden="1" thickBot="1">
      <c r="A32" s="96" t="s">
        <v>76</v>
      </c>
      <c r="B32" s="43"/>
      <c r="C32" s="43"/>
      <c r="D32" s="43"/>
      <c r="E32" s="1"/>
      <c r="F32" s="1" t="e">
        <f t="shared" si="3"/>
        <v>#DIV/0!</v>
      </c>
      <c r="G32" s="1" t="e">
        <f t="shared" si="0"/>
        <v>#DIV/0!</v>
      </c>
      <c r="H32" s="44">
        <f t="shared" si="2"/>
        <v>0</v>
      </c>
      <c r="I32" s="44">
        <f t="shared" si="1"/>
        <v>0</v>
      </c>
    </row>
    <row r="33" spans="1:9" ht="18.75" thickBot="1">
      <c r="A33" s="22" t="s">
        <v>17</v>
      </c>
      <c r="B33" s="45">
        <f>38479.6</f>
        <v>38479.6</v>
      </c>
      <c r="C33" s="46">
        <f>67303.3-3099.2+301.7+44</f>
        <v>64549.8</v>
      </c>
      <c r="D33" s="50">
        <f>1839.2+34.8+165.7+1873.2+1.3+5.1+223.7+77.9+1834.7+29.7+171.2+8.4+128.8+239.3+79.6+50.8+1967+148.5+65.1+168.2+2+195+1854.2+111.8+11.9+51+73.3+98+192+131.2+1842+37.2+0.2+0.1+1.5+37.1+157.3+17.7+6.8+2135.6+67.4+59.6+135+57.6+27.2+2317.7+25.5+184.8+1845.3+418+103+36.7+77.4+15+35.6+37-18.9+2371.9+58.8+0.1+232.7+321.1+2.4+12+6337.9+109.8+15.3+36.6+1.7+83.7+2979.8+0.2+10.7+53.7+252.7+15.7+4.7+27.4+741.9+54.9+4.8+161.7+55.2</f>
        <v>35439.39999999999</v>
      </c>
      <c r="E33" s="3">
        <f>D33/D151*100</f>
        <v>3.944825823641037</v>
      </c>
      <c r="F33" s="3">
        <f>D33/B33*100</f>
        <v>92.09919022027253</v>
      </c>
      <c r="G33" s="3">
        <f t="shared" si="0"/>
        <v>54.90241642886575</v>
      </c>
      <c r="H33" s="47">
        <f t="shared" si="2"/>
        <v>3040.2000000000116</v>
      </c>
      <c r="I33" s="47">
        <f t="shared" si="1"/>
        <v>29110.400000000016</v>
      </c>
    </row>
    <row r="34" spans="1:9" ht="18">
      <c r="A34" s="23" t="s">
        <v>3</v>
      </c>
      <c r="B34" s="42">
        <v>31736.2</v>
      </c>
      <c r="C34" s="43">
        <f>55535.9-3105.8+301.7</f>
        <v>52731.799999999996</v>
      </c>
      <c r="D34" s="44">
        <f>1743.2+1833.7+1830.2+1935.3+81+1854.2+129.9+1804.7+34.4+1.5+1881.6+1967.7+0.1+1784.4+235.6+2357.6-0.1+6335.8+2919.9+53.7+142.8+686.6</f>
        <v>29613.8</v>
      </c>
      <c r="E34" s="1">
        <f>D34/D33*100</f>
        <v>83.5617984503124</v>
      </c>
      <c r="F34" s="1">
        <f t="shared" si="3"/>
        <v>93.31236884062993</v>
      </c>
      <c r="G34" s="1">
        <f t="shared" si="0"/>
        <v>56.159281496174984</v>
      </c>
      <c r="H34" s="44">
        <f t="shared" si="2"/>
        <v>2122.4000000000015</v>
      </c>
      <c r="I34" s="44">
        <f t="shared" si="1"/>
        <v>23117.999999999996</v>
      </c>
    </row>
    <row r="35" spans="1:9" ht="18" hidden="1">
      <c r="A35" s="23" t="s">
        <v>1</v>
      </c>
      <c r="B35" s="42"/>
      <c r="C35" s="43"/>
      <c r="D35" s="44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4">
        <f t="shared" si="2"/>
        <v>0</v>
      </c>
      <c r="I35" s="44">
        <f t="shared" si="1"/>
        <v>0</v>
      </c>
    </row>
    <row r="36" spans="1:9" ht="18">
      <c r="A36" s="23" t="s">
        <v>0</v>
      </c>
      <c r="B36" s="42">
        <f>1625.5-1.7</f>
        <v>1623.8</v>
      </c>
      <c r="C36" s="43">
        <v>2945.3</v>
      </c>
      <c r="D36" s="44">
        <f>5.4+1.2+41.8+16.1+2.9+29.7+160.9+0.8+93.4+46.9+11.2+0.1+15.2+184.7+9.2+183.2+0.9+11.9+0.1+174+0.1+59.2+12.8+2+8.2+325.6+7.6-0.1+53.7+13.4+10.7+7.4+0.6+1.6+1.5+8.1+1.8+9.7+0.1</f>
        <v>1513.6</v>
      </c>
      <c r="E36" s="1">
        <f>D36/D33*100</f>
        <v>4.270952668498904</v>
      </c>
      <c r="F36" s="1">
        <f t="shared" si="3"/>
        <v>93.21344993225766</v>
      </c>
      <c r="G36" s="1">
        <f t="shared" si="0"/>
        <v>51.390350728278946</v>
      </c>
      <c r="H36" s="44">
        <f t="shared" si="2"/>
        <v>110.20000000000005</v>
      </c>
      <c r="I36" s="44">
        <f t="shared" si="1"/>
        <v>1431.7000000000003</v>
      </c>
    </row>
    <row r="37" spans="1:9" s="37" customFormat="1" ht="18.75">
      <c r="A37" s="18" t="s">
        <v>7</v>
      </c>
      <c r="B37" s="51">
        <v>511.2</v>
      </c>
      <c r="C37" s="52">
        <v>856.1</v>
      </c>
      <c r="D37" s="53">
        <f>7.4+12.3+6.1+3.3+9.3+3.2+58.1+36.7+24.4+18.9-18.9+0.1+12+83.3+21.3+10.7+4.7+55.2</f>
        <v>348.1</v>
      </c>
      <c r="E37" s="17">
        <f>D37/D33*100</f>
        <v>0.9822401056451299</v>
      </c>
      <c r="F37" s="17">
        <f t="shared" si="3"/>
        <v>68.09467918622849</v>
      </c>
      <c r="G37" s="17">
        <f t="shared" si="0"/>
        <v>40.661137717556365</v>
      </c>
      <c r="H37" s="53">
        <f t="shared" si="2"/>
        <v>163.09999999999997</v>
      </c>
      <c r="I37" s="53">
        <f t="shared" si="1"/>
        <v>508</v>
      </c>
    </row>
    <row r="38" spans="1:9" ht="18">
      <c r="A38" s="23" t="s">
        <v>14</v>
      </c>
      <c r="B38" s="42">
        <v>25.5</v>
      </c>
      <c r="C38" s="43">
        <v>80.8</v>
      </c>
      <c r="D38" s="43">
        <f>5.1+5.1+5.1+5.1+5.1</f>
        <v>25.5</v>
      </c>
      <c r="E38" s="1">
        <f>D38/D33*100</f>
        <v>0.07195381411649185</v>
      </c>
      <c r="F38" s="1">
        <f t="shared" si="3"/>
        <v>100</v>
      </c>
      <c r="G38" s="1">
        <f t="shared" si="0"/>
        <v>31.55940594059406</v>
      </c>
      <c r="H38" s="44">
        <f t="shared" si="2"/>
        <v>0</v>
      </c>
      <c r="I38" s="44">
        <f t="shared" si="1"/>
        <v>55.3</v>
      </c>
    </row>
    <row r="39" spans="1:9" ht="18.75" thickBot="1">
      <c r="A39" s="23" t="s">
        <v>28</v>
      </c>
      <c r="B39" s="42">
        <f>B33-B34-B36-B37-B35-B38</f>
        <v>4582.899999999998</v>
      </c>
      <c r="C39" s="42">
        <f>C33-C34-C36-C37-C35-C38</f>
        <v>7935.8000000000075</v>
      </c>
      <c r="D39" s="42">
        <f>D33-D34-D36-D37-D35-D38</f>
        <v>3938.3999999999874</v>
      </c>
      <c r="E39" s="1">
        <f>D39/D33*100</f>
        <v>11.11305496142708</v>
      </c>
      <c r="F39" s="1">
        <f t="shared" si="3"/>
        <v>85.93685221148158</v>
      </c>
      <c r="G39" s="1">
        <f t="shared" si="0"/>
        <v>49.628266841402045</v>
      </c>
      <c r="H39" s="44">
        <f>B39-D39</f>
        <v>644.5000000000105</v>
      </c>
      <c r="I39" s="44">
        <f t="shared" si="1"/>
        <v>3997.40000000002</v>
      </c>
    </row>
    <row r="40" spans="1:9" ht="19.5" hidden="1" thickBot="1">
      <c r="A40" s="96" t="s">
        <v>67</v>
      </c>
      <c r="B40" s="97"/>
      <c r="C40" s="97"/>
      <c r="D40" s="97"/>
      <c r="E40" s="95"/>
      <c r="F40" s="95" t="e">
        <f t="shared" si="3"/>
        <v>#DIV/0!</v>
      </c>
      <c r="G40" s="95" t="e">
        <f t="shared" si="0"/>
        <v>#DIV/0!</v>
      </c>
      <c r="H40" s="105">
        <f>B40-D40</f>
        <v>0</v>
      </c>
      <c r="I40" s="105">
        <f t="shared" si="1"/>
        <v>0</v>
      </c>
    </row>
    <row r="41" spans="1:9" ht="19.5" hidden="1" thickBot="1">
      <c r="A41" s="96" t="s">
        <v>68</v>
      </c>
      <c r="B41" s="97"/>
      <c r="C41" s="97"/>
      <c r="D41" s="97"/>
      <c r="E41" s="95"/>
      <c r="F41" s="95" t="e">
        <f t="shared" si="3"/>
        <v>#DIV/0!</v>
      </c>
      <c r="G41" s="95" t="e">
        <f t="shared" si="0"/>
        <v>#DIV/0!</v>
      </c>
      <c r="H41" s="105">
        <f>B41-D41</f>
        <v>0</v>
      </c>
      <c r="I41" s="105">
        <f t="shared" si="1"/>
        <v>0</v>
      </c>
    </row>
    <row r="42" spans="1:9" ht="19.5" hidden="1" thickBot="1">
      <c r="A42" s="96" t="s">
        <v>69</v>
      </c>
      <c r="B42" s="97"/>
      <c r="C42" s="97"/>
      <c r="D42" s="97"/>
      <c r="E42" s="95"/>
      <c r="F42" s="95"/>
      <c r="G42" s="95" t="e">
        <f t="shared" si="0"/>
        <v>#DIV/0!</v>
      </c>
      <c r="H42" s="105">
        <f>B42-D42</f>
        <v>0</v>
      </c>
      <c r="I42" s="105">
        <f t="shared" si="1"/>
        <v>0</v>
      </c>
    </row>
    <row r="43" spans="1:9" ht="19.5" thickBot="1">
      <c r="A43" s="13" t="s">
        <v>16</v>
      </c>
      <c r="B43" s="98">
        <v>1787.7</v>
      </c>
      <c r="C43" s="46">
        <f>1548.6+6.6+21.9+503.3+153.3</f>
        <v>2233.7000000000003</v>
      </c>
      <c r="D43" s="47">
        <f>29.1+22+50.2+8.1+0.6+111.5+89.2+3+14.7+7.1+8.4+11.5+17.6+100.3+27.2+6.2-0.1+30.1+12.7+5+6.1+5+7.2+55.8+7.4+109.8-0.1+35+11.8+22.6+27.4+6.5+3.2+63.8+35.8+6.6+2.7+4+0.2+6.5+6.9+61+27.1-0.1+3.2+4.7+2.4+51.9+11</f>
        <v>1139.8000000000002</v>
      </c>
      <c r="E43" s="3">
        <f>D43/D151*100</f>
        <v>0.1268732674307707</v>
      </c>
      <c r="F43" s="3">
        <f>D43/B43*100</f>
        <v>63.75790121385021</v>
      </c>
      <c r="G43" s="3">
        <f t="shared" si="0"/>
        <v>51.027443255584906</v>
      </c>
      <c r="H43" s="47">
        <f t="shared" si="2"/>
        <v>647.8999999999999</v>
      </c>
      <c r="I43" s="47">
        <f t="shared" si="1"/>
        <v>1093.9</v>
      </c>
    </row>
    <row r="44" spans="1:9" ht="12" customHeight="1" thickBot="1">
      <c r="A44" s="25"/>
      <c r="B44" s="55"/>
      <c r="C44" s="56"/>
      <c r="D44" s="57"/>
      <c r="E44" s="7"/>
      <c r="F44" s="7"/>
      <c r="G44" s="7"/>
      <c r="H44" s="57"/>
      <c r="I44" s="57"/>
    </row>
    <row r="45" spans="1:9" ht="18.75" thickBot="1">
      <c r="A45" s="22" t="s">
        <v>45</v>
      </c>
      <c r="B45" s="45">
        <v>6940.2</v>
      </c>
      <c r="C45" s="46">
        <v>11788</v>
      </c>
      <c r="D45" s="47">
        <f>102.9+155.5+3.1+3.7+452.3+6+17.2+314.1+59.3+95.2+2.2+579+1.9+71.6+375.2+7+7.3+568.3+0.1+96.1+326.4+4.1+518.1-0.1+350+35.2+5.1+556.7+19.5+326.2+24.6+1+691.6+365.3</f>
        <v>6141.700000000001</v>
      </c>
      <c r="E45" s="3">
        <f>D45/D151*100</f>
        <v>0.6836441012279035</v>
      </c>
      <c r="F45" s="3">
        <f>D45/B45*100</f>
        <v>88.4945678798882</v>
      </c>
      <c r="G45" s="3">
        <f aca="true" t="shared" si="4" ref="G45:G76">D45/C45*100</f>
        <v>52.10128944689515</v>
      </c>
      <c r="H45" s="47">
        <f>B45-D45</f>
        <v>798.4999999999991</v>
      </c>
      <c r="I45" s="47">
        <f aca="true" t="shared" si="5" ref="I45:I77">C45-D45</f>
        <v>5646.299999999999</v>
      </c>
    </row>
    <row r="46" spans="1:9" ht="18">
      <c r="A46" s="23" t="s">
        <v>3</v>
      </c>
      <c r="B46" s="42">
        <v>6150.2</v>
      </c>
      <c r="C46" s="43">
        <v>10529.7</v>
      </c>
      <c r="D46" s="44">
        <f>102.7+154.9+447.3+314.1+572.1+284.8+559+325.4+510.8+301.6+29.6+556.7+0.1+311.9+684.4+334.8</f>
        <v>5490.2</v>
      </c>
      <c r="E46" s="1">
        <f>D46/D45*100</f>
        <v>89.39218783073089</v>
      </c>
      <c r="F46" s="1">
        <f aca="true" t="shared" si="6" ref="F46:F74">D46/B46*100</f>
        <v>89.26864167018958</v>
      </c>
      <c r="G46" s="1">
        <f t="shared" si="4"/>
        <v>52.14013694597186</v>
      </c>
      <c r="H46" s="44">
        <f aca="true" t="shared" si="7" ref="H46:H74">B46-D46</f>
        <v>660</v>
      </c>
      <c r="I46" s="44">
        <f t="shared" si="5"/>
        <v>5039.500000000001</v>
      </c>
    </row>
    <row r="47" spans="1:9" ht="18">
      <c r="A47" s="23" t="s">
        <v>2</v>
      </c>
      <c r="B47" s="42">
        <v>0.8</v>
      </c>
      <c r="C47" s="43">
        <v>1.4</v>
      </c>
      <c r="D47" s="44">
        <f>0.4+0.4</f>
        <v>0.8</v>
      </c>
      <c r="E47" s="1">
        <f>D47/D45*100</f>
        <v>0.013025709494114007</v>
      </c>
      <c r="F47" s="1">
        <f t="shared" si="6"/>
        <v>100</v>
      </c>
      <c r="G47" s="1">
        <f t="shared" si="4"/>
        <v>57.14285714285715</v>
      </c>
      <c r="H47" s="44">
        <f t="shared" si="7"/>
        <v>0</v>
      </c>
      <c r="I47" s="44">
        <f t="shared" si="5"/>
        <v>0.5999999999999999</v>
      </c>
    </row>
    <row r="48" spans="1:9" ht="18">
      <c r="A48" s="23" t="s">
        <v>1</v>
      </c>
      <c r="B48" s="42">
        <v>48.4</v>
      </c>
      <c r="C48" s="43">
        <f>73.4+0.9</f>
        <v>74.30000000000001</v>
      </c>
      <c r="D48" s="44">
        <f>5.4+5.6+7.3+6+2.1+4.3+6.6</f>
        <v>37.300000000000004</v>
      </c>
      <c r="E48" s="1">
        <f>D48/D45*100</f>
        <v>0.6073237051630656</v>
      </c>
      <c r="F48" s="1">
        <f t="shared" si="6"/>
        <v>77.06611570247935</v>
      </c>
      <c r="G48" s="1">
        <f t="shared" si="4"/>
        <v>50.20188425302826</v>
      </c>
      <c r="H48" s="44">
        <f t="shared" si="7"/>
        <v>11.099999999999994</v>
      </c>
      <c r="I48" s="44">
        <f t="shared" si="5"/>
        <v>37.00000000000001</v>
      </c>
    </row>
    <row r="49" spans="1:9" ht="18">
      <c r="A49" s="23" t="s">
        <v>0</v>
      </c>
      <c r="B49" s="42">
        <v>559</v>
      </c>
      <c r="C49" s="43">
        <v>865.1</v>
      </c>
      <c r="D49" s="44">
        <f>3.1+3.5+1+0.7+59.3+95.2+2.2+6-0.1+53.5+89.7+6.2+7.2+73.9+0.4+4+3.2+30.6+0.2+2.7+3.1+5.4</f>
        <v>450.99999999999994</v>
      </c>
      <c r="E49" s="1">
        <f>D49/D45*100</f>
        <v>7.34324372730677</v>
      </c>
      <c r="F49" s="1">
        <f t="shared" si="6"/>
        <v>80.6797853309481</v>
      </c>
      <c r="G49" s="1">
        <f t="shared" si="4"/>
        <v>52.132701421800945</v>
      </c>
      <c r="H49" s="44">
        <f t="shared" si="7"/>
        <v>108.00000000000006</v>
      </c>
      <c r="I49" s="44">
        <f t="shared" si="5"/>
        <v>414.1000000000001</v>
      </c>
    </row>
    <row r="50" spans="1:9" ht="18.75" thickBot="1">
      <c r="A50" s="23" t="s">
        <v>28</v>
      </c>
      <c r="B50" s="43">
        <f>B45-B46-B49-B48-B47</f>
        <v>181.79999999999998</v>
      </c>
      <c r="C50" s="43">
        <f>C45-C46-C49-C48-C47</f>
        <v>317.49999999999926</v>
      </c>
      <c r="D50" s="43">
        <f>D45-D46-D49-D48-D47</f>
        <v>162.40000000000094</v>
      </c>
      <c r="E50" s="1">
        <f>D50/D45*100</f>
        <v>2.6442190273051587</v>
      </c>
      <c r="F50" s="1">
        <f t="shared" si="6"/>
        <v>89.32893289328986</v>
      </c>
      <c r="G50" s="1">
        <f t="shared" si="4"/>
        <v>51.14960629921301</v>
      </c>
      <c r="H50" s="44">
        <f t="shared" si="7"/>
        <v>19.39999999999904</v>
      </c>
      <c r="I50" s="44">
        <f t="shared" si="5"/>
        <v>155.09999999999832</v>
      </c>
    </row>
    <row r="51" spans="1:9" ht="18.75" thickBot="1">
      <c r="A51" s="22" t="s">
        <v>4</v>
      </c>
      <c r="B51" s="45">
        <f>14265.8+18.8</f>
        <v>14284.599999999999</v>
      </c>
      <c r="C51" s="46">
        <f>23558.7+50+2250-940.4-1250+76.8+148+18.8</f>
        <v>23911.899999999998</v>
      </c>
      <c r="D51" s="47">
        <f>475.9+7.8+935.8+30.7-0.1+8+35.8+34+6+454.4+67.8+74.7+41.8+81.6+68+973+34+4.9+131.2+59.3+568.8+113.2+131.2+51.5+32.5+2.5+9+29.3+48.7+24.6+895.5+47.8+195.2+85.2+498.7+48.5+15.2+20.1+884.8+122.4+110.8+0.3+163.9+403+106.7+40.2+97.2+39.2+1124+104.3+23.6+2.9+21.3+690.8+52.8+1394.2+84.1+0.1+145.8+533.5+26.7</f>
        <v>12514.699999999999</v>
      </c>
      <c r="E51" s="3">
        <f>D51/D151*100</f>
        <v>1.3930346375819145</v>
      </c>
      <c r="F51" s="3">
        <f>D51/B51*100</f>
        <v>87.60973355921762</v>
      </c>
      <c r="G51" s="3">
        <f t="shared" si="4"/>
        <v>52.33670264596289</v>
      </c>
      <c r="H51" s="47">
        <f>B51-D51</f>
        <v>1769.8999999999996</v>
      </c>
      <c r="I51" s="47">
        <f t="shared" si="5"/>
        <v>11397.199999999999</v>
      </c>
    </row>
    <row r="52" spans="1:9" ht="18">
      <c r="A52" s="23" t="s">
        <v>3</v>
      </c>
      <c r="B52" s="42">
        <v>9071.4</v>
      </c>
      <c r="C52" s="43">
        <f>16189.8-940.4</f>
        <v>15249.4</v>
      </c>
      <c r="D52" s="44">
        <f>392.4+738.8+389.6+752.9+403.1+730.4+397.8+724.9+1.1+0.1+403+795.7+527.1+1240.6+386.5</f>
        <v>7884</v>
      </c>
      <c r="E52" s="1">
        <f>D52/D51*100</f>
        <v>62.997914452603744</v>
      </c>
      <c r="F52" s="1">
        <f t="shared" si="6"/>
        <v>86.91050995436207</v>
      </c>
      <c r="G52" s="1">
        <f t="shared" si="4"/>
        <v>51.700394769630286</v>
      </c>
      <c r="H52" s="44">
        <f t="shared" si="7"/>
        <v>1187.3999999999996</v>
      </c>
      <c r="I52" s="44">
        <f t="shared" si="5"/>
        <v>7365.4</v>
      </c>
    </row>
    <row r="53" spans="1:9" ht="18">
      <c r="A53" s="23" t="s">
        <v>2</v>
      </c>
      <c r="B53" s="42">
        <v>0</v>
      </c>
      <c r="C53" s="43">
        <v>13</v>
      </c>
      <c r="D53" s="44"/>
      <c r="E53" s="1">
        <f>D53/D51*100</f>
        <v>0</v>
      </c>
      <c r="F53" s="103" t="e">
        <f>D53/B53*100</f>
        <v>#DIV/0!</v>
      </c>
      <c r="G53" s="1">
        <f t="shared" si="4"/>
        <v>0</v>
      </c>
      <c r="H53" s="44">
        <f t="shared" si="7"/>
        <v>0</v>
      </c>
      <c r="I53" s="44">
        <f t="shared" si="5"/>
        <v>13</v>
      </c>
    </row>
    <row r="54" spans="1:9" ht="18">
      <c r="A54" s="23" t="s">
        <v>1</v>
      </c>
      <c r="B54" s="42">
        <v>466.8</v>
      </c>
      <c r="C54" s="43">
        <v>810.2</v>
      </c>
      <c r="D54" s="44">
        <f>1.9+1.9+0.5+7.4+2.1+1.2+12.9+5.1+0.1+4.5+16.8+19.2+9.7+3.1+1.1+1.4+2.5+5.7+19.9+0.8+28.2+4+19.8+8.2+38.7+4.3+0.2+18.2+4.3+27.9+3.9+3+21+4+9.4+2.4+4.7+1.2+8.1+6.9</f>
        <v>336.1999999999999</v>
      </c>
      <c r="E54" s="1">
        <f>D54/D51*100</f>
        <v>2.686440745683076</v>
      </c>
      <c r="F54" s="1">
        <f t="shared" si="6"/>
        <v>72.02227934875746</v>
      </c>
      <c r="G54" s="1">
        <f t="shared" si="4"/>
        <v>41.4959269316218</v>
      </c>
      <c r="H54" s="44">
        <f t="shared" si="7"/>
        <v>130.60000000000014</v>
      </c>
      <c r="I54" s="44">
        <f t="shared" si="5"/>
        <v>474.00000000000017</v>
      </c>
    </row>
    <row r="55" spans="1:9" ht="18">
      <c r="A55" s="23" t="s">
        <v>0</v>
      </c>
      <c r="B55" s="42">
        <v>580.2</v>
      </c>
      <c r="C55" s="43">
        <f>1048.5+14.2</f>
        <v>1062.7</v>
      </c>
      <c r="D55" s="44">
        <f>0.5+0.6+7.5+73.9+2.1+51.2+20.8+16.3+5.9+0.4+16.8+14.9+10.4+71.4+0.3+1.2+1.4+16+1.2+0.1+25+43+3.8+1.3+4.1+73.9-0.2+14.3+2.8+3+2.4+0.3+0.4+1.3+1.5+2+0.6+0.5+3+1.3+1.4</f>
        <v>498.60000000000014</v>
      </c>
      <c r="E55" s="1">
        <f>D55/D51*100</f>
        <v>3.984114681134987</v>
      </c>
      <c r="F55" s="1">
        <f t="shared" si="6"/>
        <v>85.93588417786971</v>
      </c>
      <c r="G55" s="1">
        <f t="shared" si="4"/>
        <v>46.918227157241</v>
      </c>
      <c r="H55" s="44">
        <f t="shared" si="7"/>
        <v>81.59999999999991</v>
      </c>
      <c r="I55" s="44">
        <f t="shared" si="5"/>
        <v>564.0999999999999</v>
      </c>
    </row>
    <row r="56" spans="1:9" ht="18">
      <c r="A56" s="23" t="s">
        <v>14</v>
      </c>
      <c r="B56" s="42">
        <v>286.5</v>
      </c>
      <c r="C56" s="43">
        <v>518.9</v>
      </c>
      <c r="D56" s="43">
        <f>34+46+40+40+40+40</f>
        <v>240</v>
      </c>
      <c r="E56" s="1">
        <f>D56/D51*100</f>
        <v>1.9177447321949388</v>
      </c>
      <c r="F56" s="1">
        <f>D56/B56*100</f>
        <v>83.7696335078534</v>
      </c>
      <c r="G56" s="1">
        <f>D56/C56*100</f>
        <v>46.25168625939487</v>
      </c>
      <c r="H56" s="44">
        <f t="shared" si="7"/>
        <v>46.5</v>
      </c>
      <c r="I56" s="44">
        <f t="shared" si="5"/>
        <v>278.9</v>
      </c>
    </row>
    <row r="57" spans="1:9" ht="18.75" thickBot="1">
      <c r="A57" s="23" t="s">
        <v>28</v>
      </c>
      <c r="B57" s="43">
        <f>B51-B52-B55-B54-B53-B56</f>
        <v>3879.699999999999</v>
      </c>
      <c r="C57" s="43">
        <f>C51-C52-C55-C54-C53-C56</f>
        <v>6257.699999999999</v>
      </c>
      <c r="D57" s="43">
        <f>D51-D52-D55-D54-D53-D56</f>
        <v>3555.8999999999987</v>
      </c>
      <c r="E57" s="1">
        <f>D57/D51*100</f>
        <v>28.413785388383257</v>
      </c>
      <c r="F57" s="1">
        <f t="shared" si="6"/>
        <v>91.65399386550506</v>
      </c>
      <c r="G57" s="1">
        <f t="shared" si="4"/>
        <v>56.82439234862648</v>
      </c>
      <c r="H57" s="44">
        <f>B57-D57</f>
        <v>323.8000000000002</v>
      </c>
      <c r="I57" s="44">
        <f>C57-D57</f>
        <v>2701.8</v>
      </c>
    </row>
    <row r="58" spans="1:9" s="37" customFormat="1" ht="19.5" hidden="1" thickBot="1">
      <c r="A58" s="96" t="s">
        <v>66</v>
      </c>
      <c r="B58" s="94"/>
      <c r="C58" s="94"/>
      <c r="D58" s="94"/>
      <c r="E58" s="1"/>
      <c r="F58" s="95" t="e">
        <f t="shared" si="6"/>
        <v>#DIV/0!</v>
      </c>
      <c r="G58" s="95" t="e">
        <f t="shared" si="4"/>
        <v>#DIV/0!</v>
      </c>
      <c r="H58" s="105">
        <f t="shared" si="7"/>
        <v>0</v>
      </c>
      <c r="I58" s="105">
        <f>C58-D58</f>
        <v>0</v>
      </c>
    </row>
    <row r="59" spans="1:9" ht="18.75" thickBot="1">
      <c r="A59" s="22" t="s">
        <v>6</v>
      </c>
      <c r="B59" s="45">
        <v>4517.5</v>
      </c>
      <c r="C59" s="46">
        <f>7844.6+200-378.5+50</f>
        <v>7716.1</v>
      </c>
      <c r="D59" s="47">
        <f>55.6+0.2+146.1+0.4+60.8+0.4+59.3+73.6+0.1+18.6+1.9+67.3+0.4+57.5+0.6+144.6-4.5+32.9+1.2+79.7+73.5+4+0.1+78.7+72.2+0.1+9.9+53+0.1+12.7+6.3+29.9+85.7+69.4+15.3+39.7+11.2+39.1+0.1+101.9+64.5+93.3+45.9+65.6+272.8</f>
        <v>2041.7000000000003</v>
      </c>
      <c r="E59" s="3">
        <f>D59/D151*100</f>
        <v>0.22726544140498736</v>
      </c>
      <c r="F59" s="3">
        <f>D59/B59*100</f>
        <v>45.195351411178756</v>
      </c>
      <c r="G59" s="3">
        <f t="shared" si="4"/>
        <v>26.46025842070476</v>
      </c>
      <c r="H59" s="47">
        <f>B59-D59</f>
        <v>2475.7999999999997</v>
      </c>
      <c r="I59" s="47">
        <f t="shared" si="5"/>
        <v>5674.4</v>
      </c>
    </row>
    <row r="60" spans="1:9" ht="18">
      <c r="A60" s="23" t="s">
        <v>3</v>
      </c>
      <c r="B60" s="42">
        <v>1492.8</v>
      </c>
      <c r="C60" s="43">
        <f>2900.3-339.6</f>
        <v>2560.7000000000003</v>
      </c>
      <c r="D60" s="44">
        <f>55.6+146.1+60.8+59.3+73.6+0.1+67.3+144.6-4.5+79.7+66.8+72.2-0.1+53+75.7+69.4+0.1+39.1+101.5+64.4+45.9+64.5</f>
        <v>1335.1000000000001</v>
      </c>
      <c r="E60" s="1">
        <f>D60/D59*100</f>
        <v>65.39158544350296</v>
      </c>
      <c r="F60" s="1">
        <f t="shared" si="6"/>
        <v>89.43595927116829</v>
      </c>
      <c r="G60" s="1">
        <f t="shared" si="4"/>
        <v>52.138087241769824</v>
      </c>
      <c r="H60" s="44">
        <f t="shared" si="7"/>
        <v>157.69999999999982</v>
      </c>
      <c r="I60" s="44">
        <f t="shared" si="5"/>
        <v>1225.6000000000001</v>
      </c>
    </row>
    <row r="61" spans="1:9" ht="18">
      <c r="A61" s="23" t="s">
        <v>1</v>
      </c>
      <c r="B61" s="42">
        <v>343.7</v>
      </c>
      <c r="C61" s="43">
        <f>337.1+6.6</f>
        <v>343.70000000000005</v>
      </c>
      <c r="D61" s="44">
        <f>3.2+187.6</f>
        <v>190.79999999999998</v>
      </c>
      <c r="E61" s="1">
        <f>D61/D59*100</f>
        <v>9.345153548513492</v>
      </c>
      <c r="F61" s="1">
        <f>D61/B61*100</f>
        <v>55.51352924061681</v>
      </c>
      <c r="G61" s="1">
        <f t="shared" si="4"/>
        <v>55.51352924061681</v>
      </c>
      <c r="H61" s="44">
        <f t="shared" si="7"/>
        <v>152.9</v>
      </c>
      <c r="I61" s="44">
        <f t="shared" si="5"/>
        <v>152.90000000000006</v>
      </c>
    </row>
    <row r="62" spans="1:9" ht="18">
      <c r="A62" s="23" t="s">
        <v>0</v>
      </c>
      <c r="B62" s="42">
        <v>220.6</v>
      </c>
      <c r="C62" s="43">
        <f>451.8-38.9</f>
        <v>412.90000000000003</v>
      </c>
      <c r="D62" s="44">
        <f>0.4+18.6+55.1+0.5+32.9+0.7+67.5+3.7+0.4+6.3+12.6+0.1+4.2+0.1+1.9+0.5</f>
        <v>205.49999999999997</v>
      </c>
      <c r="E62" s="1">
        <f>D62/D59*100</f>
        <v>10.065141793603367</v>
      </c>
      <c r="F62" s="1">
        <f t="shared" si="6"/>
        <v>93.15503173164097</v>
      </c>
      <c r="G62" s="1">
        <f t="shared" si="4"/>
        <v>49.76992007750059</v>
      </c>
      <c r="H62" s="44">
        <f t="shared" si="7"/>
        <v>15.100000000000023</v>
      </c>
      <c r="I62" s="44">
        <f t="shared" si="5"/>
        <v>207.40000000000006</v>
      </c>
    </row>
    <row r="63" spans="1:9" ht="18">
      <c r="A63" s="23" t="s">
        <v>14</v>
      </c>
      <c r="B63" s="42">
        <v>2124.5</v>
      </c>
      <c r="C63" s="43">
        <v>3707.1</v>
      </c>
      <c r="D63" s="44">
        <v>89.8</v>
      </c>
      <c r="E63" s="1">
        <f>D63/D59*100</f>
        <v>4.398295538032031</v>
      </c>
      <c r="F63" s="1">
        <f t="shared" si="6"/>
        <v>4.226876912214639</v>
      </c>
      <c r="G63" s="1">
        <f t="shared" si="4"/>
        <v>2.422378678751585</v>
      </c>
      <c r="H63" s="44">
        <f t="shared" si="7"/>
        <v>2034.7</v>
      </c>
      <c r="I63" s="44">
        <f t="shared" si="5"/>
        <v>3617.2999999999997</v>
      </c>
    </row>
    <row r="64" spans="1:9" ht="18.75" thickBot="1">
      <c r="A64" s="23" t="s">
        <v>28</v>
      </c>
      <c r="B64" s="43">
        <f>B59-B60-B62-B63-B61</f>
        <v>335.8999999999999</v>
      </c>
      <c r="C64" s="43">
        <f>C59-C60-C62-C63-C61</f>
        <v>691.7</v>
      </c>
      <c r="D64" s="43">
        <f>D59-D60-D62-D63-D61</f>
        <v>220.50000000000014</v>
      </c>
      <c r="E64" s="1">
        <f>D64/D59*100</f>
        <v>10.799823676348147</v>
      </c>
      <c r="F64" s="1">
        <f t="shared" si="6"/>
        <v>65.64453706460262</v>
      </c>
      <c r="G64" s="1">
        <f t="shared" si="4"/>
        <v>31.87798178401043</v>
      </c>
      <c r="H64" s="44">
        <f t="shared" si="7"/>
        <v>115.39999999999978</v>
      </c>
      <c r="I64" s="44">
        <f t="shared" si="5"/>
        <v>471.19999999999993</v>
      </c>
    </row>
    <row r="65" spans="1:9" s="37" customFormat="1" ht="19.5" hidden="1" thickBot="1">
      <c r="A65" s="96" t="s">
        <v>77</v>
      </c>
      <c r="B65" s="94"/>
      <c r="C65" s="94"/>
      <c r="D65" s="94"/>
      <c r="E65" s="95"/>
      <c r="F65" s="95" t="e">
        <f>D65/B65*100</f>
        <v>#DIV/0!</v>
      </c>
      <c r="G65" s="95" t="e">
        <f>D65/C65*100</f>
        <v>#DIV/0!</v>
      </c>
      <c r="H65" s="105">
        <f t="shared" si="7"/>
        <v>0</v>
      </c>
      <c r="I65" s="105">
        <f t="shared" si="5"/>
        <v>0</v>
      </c>
    </row>
    <row r="66" spans="1:9" s="37" customFormat="1" ht="19.5" hidden="1" thickBot="1">
      <c r="A66" s="96" t="s">
        <v>63</v>
      </c>
      <c r="B66" s="94"/>
      <c r="C66" s="94"/>
      <c r="D66" s="94"/>
      <c r="E66" s="95"/>
      <c r="F66" s="95" t="e">
        <f t="shared" si="6"/>
        <v>#DIV/0!</v>
      </c>
      <c r="G66" s="95" t="e">
        <f t="shared" si="4"/>
        <v>#DIV/0!</v>
      </c>
      <c r="H66" s="105">
        <f t="shared" si="7"/>
        <v>0</v>
      </c>
      <c r="I66" s="105">
        <f t="shared" si="5"/>
        <v>0</v>
      </c>
    </row>
    <row r="67" spans="1:9" s="37" customFormat="1" ht="19.5" hidden="1" thickBot="1">
      <c r="A67" s="96" t="s">
        <v>64</v>
      </c>
      <c r="B67" s="94"/>
      <c r="C67" s="94"/>
      <c r="D67" s="94"/>
      <c r="E67" s="95"/>
      <c r="F67" s="95" t="e">
        <f t="shared" si="6"/>
        <v>#DIV/0!</v>
      </c>
      <c r="G67" s="95" t="e">
        <f t="shared" si="4"/>
        <v>#DIV/0!</v>
      </c>
      <c r="H67" s="105">
        <f t="shared" si="7"/>
        <v>0</v>
      </c>
      <c r="I67" s="105">
        <f t="shared" si="5"/>
        <v>0</v>
      </c>
    </row>
    <row r="68" spans="1:9" s="37" customFormat="1" ht="19.5" hidden="1" thickBot="1">
      <c r="A68" s="96" t="s">
        <v>65</v>
      </c>
      <c r="B68" s="94"/>
      <c r="C68" s="94"/>
      <c r="D68" s="94"/>
      <c r="E68" s="95"/>
      <c r="F68" s="95" t="e">
        <f t="shared" si="6"/>
        <v>#DIV/0!</v>
      </c>
      <c r="G68" s="95" t="e">
        <f t="shared" si="4"/>
        <v>#DIV/0!</v>
      </c>
      <c r="H68" s="105">
        <f t="shared" si="7"/>
        <v>0</v>
      </c>
      <c r="I68" s="105">
        <f t="shared" si="5"/>
        <v>0</v>
      </c>
    </row>
    <row r="69" spans="1:9" ht="18.75" thickBot="1">
      <c r="A69" s="22" t="s">
        <v>20</v>
      </c>
      <c r="B69" s="46">
        <f>B70+B71</f>
        <v>338.2</v>
      </c>
      <c r="C69" s="46">
        <f>C70+C71</f>
        <v>417</v>
      </c>
      <c r="D69" s="47">
        <f>SUM(D70:D71)</f>
        <v>242.49999999999997</v>
      </c>
      <c r="E69" s="35">
        <f>D69/D151*100</f>
        <v>0.02699312805050175</v>
      </c>
      <c r="F69" s="3">
        <f>D69/B69*100</f>
        <v>71.70313424009461</v>
      </c>
      <c r="G69" s="3">
        <f t="shared" si="4"/>
        <v>58.15347721822541</v>
      </c>
      <c r="H69" s="47">
        <f>B69-D69</f>
        <v>95.70000000000002</v>
      </c>
      <c r="I69" s="47">
        <f t="shared" si="5"/>
        <v>174.50000000000003</v>
      </c>
    </row>
    <row r="70" spans="1:9" ht="18">
      <c r="A70" s="23" t="s">
        <v>8</v>
      </c>
      <c r="B70" s="42">
        <v>287</v>
      </c>
      <c r="C70" s="43">
        <f>289-2</f>
        <v>287</v>
      </c>
      <c r="D70" s="44">
        <f>19.2+1.5+170.6+1.2+17.7+0.1+11+3+9.5-0.1+2.3</f>
        <v>235.99999999999997</v>
      </c>
      <c r="E70" s="1">
        <f>D70/D69*100</f>
        <v>97.31958762886597</v>
      </c>
      <c r="F70" s="1">
        <f t="shared" si="6"/>
        <v>82.22996515679442</v>
      </c>
      <c r="G70" s="1">
        <f t="shared" si="4"/>
        <v>82.22996515679442</v>
      </c>
      <c r="H70" s="44">
        <f t="shared" si="7"/>
        <v>51.00000000000003</v>
      </c>
      <c r="I70" s="44">
        <f t="shared" si="5"/>
        <v>51.00000000000003</v>
      </c>
    </row>
    <row r="71" spans="1:9" ht="18.75" thickBot="1">
      <c r="A71" s="23" t="s">
        <v>9</v>
      </c>
      <c r="B71" s="42">
        <f>70.8-19.6</f>
        <v>51.199999999999996</v>
      </c>
      <c r="C71" s="43">
        <f>267.3-68.6-27.9+0.7-15-6.9-19.6</f>
        <v>130</v>
      </c>
      <c r="D71" s="44">
        <f>6.5</f>
        <v>6.5</v>
      </c>
      <c r="E71" s="1">
        <f>D71/D70*100</f>
        <v>2.7542372881355934</v>
      </c>
      <c r="F71" s="1">
        <f t="shared" si="6"/>
        <v>12.6953125</v>
      </c>
      <c r="G71" s="1">
        <f t="shared" si="4"/>
        <v>5</v>
      </c>
      <c r="H71" s="44">
        <f t="shared" si="7"/>
        <v>44.699999999999996</v>
      </c>
      <c r="I71" s="44">
        <f t="shared" si="5"/>
        <v>123.5</v>
      </c>
    </row>
    <row r="72" spans="1:9" ht="38.25" hidden="1" thickBot="1">
      <c r="A72" s="13" t="s">
        <v>42</v>
      </c>
      <c r="B72" s="54"/>
      <c r="C72" s="46">
        <f>C73+C74+C75+C76</f>
        <v>0</v>
      </c>
      <c r="D72" s="46">
        <f>D73+D74+D75+D76</f>
        <v>0</v>
      </c>
      <c r="E72" s="3">
        <f>D72/D151*100</f>
        <v>0</v>
      </c>
      <c r="F72" s="3" t="e">
        <f>D72/B72*100</f>
        <v>#DIV/0!</v>
      </c>
      <c r="G72" s="3" t="e">
        <f t="shared" si="4"/>
        <v>#DIV/0!</v>
      </c>
      <c r="H72" s="47">
        <f>B72-D72</f>
        <v>0</v>
      </c>
      <c r="I72" s="47">
        <f t="shared" si="5"/>
        <v>0</v>
      </c>
    </row>
    <row r="73" spans="1:9" ht="18.75" hidden="1">
      <c r="A73" s="18" t="s">
        <v>46</v>
      </c>
      <c r="B73" s="51"/>
      <c r="C73" s="58"/>
      <c r="D73" s="49"/>
      <c r="E73" s="30" t="e">
        <f>D73/D72*100</f>
        <v>#DIV/0!</v>
      </c>
      <c r="F73" s="1" t="e">
        <f t="shared" si="6"/>
        <v>#DIV/0!</v>
      </c>
      <c r="G73" s="1" t="e">
        <f t="shared" si="4"/>
        <v>#DIV/0!</v>
      </c>
      <c r="H73" s="44">
        <f t="shared" si="7"/>
        <v>0</v>
      </c>
      <c r="I73" s="44">
        <f t="shared" si="5"/>
        <v>0</v>
      </c>
    </row>
    <row r="74" spans="1:9" ht="18.75" hidden="1">
      <c r="A74" s="18" t="s">
        <v>47</v>
      </c>
      <c r="B74" s="51"/>
      <c r="C74" s="58"/>
      <c r="D74" s="49"/>
      <c r="E74" s="30" t="e">
        <f>D74/D72*100</f>
        <v>#DIV/0!</v>
      </c>
      <c r="F74" s="1" t="e">
        <f t="shared" si="6"/>
        <v>#DIV/0!</v>
      </c>
      <c r="G74" s="1" t="e">
        <f t="shared" si="4"/>
        <v>#DIV/0!</v>
      </c>
      <c r="H74" s="44">
        <f t="shared" si="7"/>
        <v>0</v>
      </c>
      <c r="I74" s="44">
        <f t="shared" si="5"/>
        <v>0</v>
      </c>
    </row>
    <row r="75" spans="1:9" ht="18.75" hidden="1">
      <c r="A75" s="24" t="s">
        <v>35</v>
      </c>
      <c r="B75" s="59"/>
      <c r="C75" s="60"/>
      <c r="D75" s="61"/>
      <c r="E75" s="30" t="e">
        <f>D75/D72*100</f>
        <v>#DIV/0!</v>
      </c>
      <c r="F75" s="30"/>
      <c r="G75" s="1" t="e">
        <f t="shared" si="4"/>
        <v>#DIV/0!</v>
      </c>
      <c r="H75" s="44"/>
      <c r="I75" s="44">
        <f t="shared" si="5"/>
        <v>0</v>
      </c>
    </row>
    <row r="76" spans="1:9" ht="19.5" hidden="1" thickBot="1">
      <c r="A76" s="24" t="s">
        <v>43</v>
      </c>
      <c r="B76" s="59"/>
      <c r="C76" s="60"/>
      <c r="D76" s="61"/>
      <c r="E76" s="30" t="e">
        <f>D76/D72*100</f>
        <v>#DIV/0!</v>
      </c>
      <c r="F76" s="30"/>
      <c r="G76" s="1" t="e">
        <f t="shared" si="4"/>
        <v>#DIV/0!</v>
      </c>
      <c r="H76" s="44"/>
      <c r="I76" s="44">
        <f t="shared" si="5"/>
        <v>0</v>
      </c>
    </row>
    <row r="77" spans="1:9" s="37" customFormat="1" ht="19.5" thickBot="1">
      <c r="A77" s="25" t="s">
        <v>13</v>
      </c>
      <c r="B77" s="55">
        <v>912.9</v>
      </c>
      <c r="C77" s="62">
        <f>10000-100-5823.7-1513.4-150-1500</f>
        <v>912.9000000000001</v>
      </c>
      <c r="D77" s="63"/>
      <c r="E77" s="41"/>
      <c r="F77" s="41"/>
      <c r="G77" s="41"/>
      <c r="H77" s="63">
        <f>B77-D77</f>
        <v>912.9</v>
      </c>
      <c r="I77" s="63">
        <f t="shared" si="5"/>
        <v>912.9000000000001</v>
      </c>
    </row>
    <row r="78" spans="1:9" ht="8.25" customHeight="1" thickBot="1">
      <c r="A78" s="18"/>
      <c r="B78" s="51"/>
      <c r="C78" s="60"/>
      <c r="D78" s="61"/>
      <c r="E78" s="6"/>
      <c r="F78" s="6"/>
      <c r="G78" s="6"/>
      <c r="H78" s="61"/>
      <c r="I78" s="120"/>
    </row>
    <row r="79" spans="1:9" ht="18.75" customHeight="1" hidden="1" thickBot="1">
      <c r="A79" s="13" t="s">
        <v>57</v>
      </c>
      <c r="B79" s="54"/>
      <c r="C79" s="46"/>
      <c r="D79" s="46"/>
      <c r="E79" s="3">
        <f>D79/D151*100</f>
        <v>0</v>
      </c>
      <c r="F79" s="3" t="e">
        <f>D79/B79*100</f>
        <v>#DIV/0!</v>
      </c>
      <c r="G79" s="3" t="e">
        <f aca="true" t="shared" si="8" ref="G79:G93">D79/C79*100</f>
        <v>#DIV/0!</v>
      </c>
      <c r="H79" s="47">
        <f>B79-D79</f>
        <v>0</v>
      </c>
      <c r="I79" s="47">
        <f aca="true" t="shared" si="9" ref="I79:I93">C79-D79</f>
        <v>0</v>
      </c>
    </row>
    <row r="80" spans="1:9" s="8" customFormat="1" ht="18.75" hidden="1" thickBot="1">
      <c r="A80" s="9" t="s">
        <v>56</v>
      </c>
      <c r="B80" s="64"/>
      <c r="C80" s="43"/>
      <c r="D80" s="44"/>
      <c r="E80" s="93"/>
      <c r="F80" s="1" t="e">
        <f>D80/B80*100</f>
        <v>#DIV/0!</v>
      </c>
      <c r="G80" s="1" t="e">
        <f t="shared" si="8"/>
        <v>#DIV/0!</v>
      </c>
      <c r="H80" s="44">
        <f>B80-D80</f>
        <v>0</v>
      </c>
      <c r="I80" s="44">
        <f t="shared" si="9"/>
        <v>0</v>
      </c>
    </row>
    <row r="81" spans="1:9" s="8" customFormat="1" ht="31.5" hidden="1" thickBot="1">
      <c r="A81" s="9" t="s">
        <v>54</v>
      </c>
      <c r="B81" s="64"/>
      <c r="C81" s="43"/>
      <c r="D81" s="44"/>
      <c r="E81" s="93"/>
      <c r="F81" s="1" t="e">
        <f>D81/B81*100</f>
        <v>#DIV/0!</v>
      </c>
      <c r="G81" s="1" t="e">
        <f t="shared" si="8"/>
        <v>#DIV/0!</v>
      </c>
      <c r="H81" s="44">
        <f>B81-D81</f>
        <v>0</v>
      </c>
      <c r="I81" s="44">
        <f t="shared" si="9"/>
        <v>0</v>
      </c>
    </row>
    <row r="82" spans="1:9" s="8" customFormat="1" ht="16.5" customHeight="1" hidden="1">
      <c r="A82" s="9" t="s">
        <v>34</v>
      </c>
      <c r="B82" s="64"/>
      <c r="C82" s="43"/>
      <c r="D82" s="44"/>
      <c r="E82" s="1" t="e">
        <f>D82/D79*100</f>
        <v>#DIV/0!</v>
      </c>
      <c r="F82" s="1"/>
      <c r="G82" s="1" t="e">
        <f t="shared" si="8"/>
        <v>#DIV/0!</v>
      </c>
      <c r="H82" s="44"/>
      <c r="I82" s="44">
        <f t="shared" si="9"/>
        <v>0</v>
      </c>
    </row>
    <row r="83" spans="1:9" s="8" customFormat="1" ht="33" customHeight="1" hidden="1" thickBot="1">
      <c r="A83" s="9" t="s">
        <v>40</v>
      </c>
      <c r="B83" s="64"/>
      <c r="C83" s="43"/>
      <c r="D83" s="43"/>
      <c r="E83" s="1" t="e">
        <f>D83/D79*100</f>
        <v>#DIV/0!</v>
      </c>
      <c r="F83" s="1"/>
      <c r="G83" s="1" t="e">
        <f t="shared" si="8"/>
        <v>#DIV/0!</v>
      </c>
      <c r="H83" s="44"/>
      <c r="I83" s="44">
        <f t="shared" si="9"/>
        <v>0</v>
      </c>
    </row>
    <row r="84" spans="1:9" ht="35.25" customHeight="1" hidden="1" thickBot="1">
      <c r="A84" s="13" t="s">
        <v>36</v>
      </c>
      <c r="B84" s="54"/>
      <c r="C84" s="46"/>
      <c r="D84" s="46"/>
      <c r="E84" s="3">
        <f>D84/D151*100</f>
        <v>0</v>
      </c>
      <c r="F84" s="3"/>
      <c r="G84" s="3" t="e">
        <f t="shared" si="8"/>
        <v>#DIV/0!</v>
      </c>
      <c r="H84" s="47"/>
      <c r="I84" s="47">
        <f t="shared" si="9"/>
        <v>0</v>
      </c>
    </row>
    <row r="85" spans="1:9" ht="16.5" customHeight="1" hidden="1">
      <c r="A85" s="23" t="s">
        <v>24</v>
      </c>
      <c r="B85" s="42"/>
      <c r="C85" s="60"/>
      <c r="D85" s="60"/>
      <c r="E85" s="6" t="e">
        <f>D85/D84*100</f>
        <v>#DIV/0!</v>
      </c>
      <c r="F85" s="6"/>
      <c r="G85" s="6" t="e">
        <f t="shared" si="8"/>
        <v>#DIV/0!</v>
      </c>
      <c r="H85" s="61"/>
      <c r="I85" s="44">
        <f t="shared" si="9"/>
        <v>0</v>
      </c>
    </row>
    <row r="86" spans="1:9" ht="16.5" customHeight="1" hidden="1" thickBot="1">
      <c r="A86" s="23" t="s">
        <v>25</v>
      </c>
      <c r="B86" s="42"/>
      <c r="C86" s="60"/>
      <c r="D86" s="60"/>
      <c r="E86" s="6" t="e">
        <f>D86/D84*100</f>
        <v>#DIV/0!</v>
      </c>
      <c r="F86" s="6"/>
      <c r="G86" s="6" t="e">
        <f t="shared" si="8"/>
        <v>#DIV/0!</v>
      </c>
      <c r="H86" s="61"/>
      <c r="I86" s="44">
        <f t="shared" si="9"/>
        <v>0</v>
      </c>
    </row>
    <row r="87" spans="1:9" ht="34.5" customHeight="1" hidden="1" thickBot="1">
      <c r="A87" s="13" t="s">
        <v>37</v>
      </c>
      <c r="B87" s="54"/>
      <c r="C87" s="46"/>
      <c r="D87" s="46"/>
      <c r="E87" s="3">
        <f>D87/D151*100</f>
        <v>0</v>
      </c>
      <c r="F87" s="3"/>
      <c r="G87" s="3" t="e">
        <f t="shared" si="8"/>
        <v>#DIV/0!</v>
      </c>
      <c r="H87" s="47"/>
      <c r="I87" s="47">
        <f t="shared" si="9"/>
        <v>0</v>
      </c>
    </row>
    <row r="88" spans="1:9" ht="17.25" customHeight="1" hidden="1">
      <c r="A88" s="23" t="s">
        <v>24</v>
      </c>
      <c r="B88" s="42"/>
      <c r="C88" s="43"/>
      <c r="D88" s="44"/>
      <c r="E88" s="1" t="e">
        <f>D88/D87*100</f>
        <v>#DIV/0!</v>
      </c>
      <c r="F88" s="1"/>
      <c r="G88" s="1" t="e">
        <f t="shared" si="8"/>
        <v>#DIV/0!</v>
      </c>
      <c r="H88" s="44"/>
      <c r="I88" s="44">
        <f t="shared" si="9"/>
        <v>0</v>
      </c>
    </row>
    <row r="89" spans="1:9" ht="17.25" customHeight="1" hidden="1" thickBot="1">
      <c r="A89" s="23" t="s">
        <v>25</v>
      </c>
      <c r="B89" s="42"/>
      <c r="C89" s="43"/>
      <c r="D89" s="44"/>
      <c r="E89" s="1" t="e">
        <f>D89/D87*100</f>
        <v>#DIV/0!</v>
      </c>
      <c r="F89" s="1"/>
      <c r="G89" s="1" t="e">
        <f t="shared" si="8"/>
        <v>#DIV/0!</v>
      </c>
      <c r="H89" s="44"/>
      <c r="I89" s="44">
        <f t="shared" si="9"/>
        <v>0</v>
      </c>
    </row>
    <row r="90" spans="1:9" ht="19.5" thickBot="1">
      <c r="A90" s="13" t="s">
        <v>10</v>
      </c>
      <c r="B90" s="54">
        <f>94805.7-200</f>
        <v>94605.7</v>
      </c>
      <c r="C90" s="46">
        <f>157960+265+0.3+29.6</f>
        <v>158254.9</v>
      </c>
      <c r="D90" s="47">
        <f>4.8+1016.5+864.1+250.6+6.8+2.9+10.6+5.5+0.6+1.5+29.3+1648.7+1618.2+708.6+2+22.6+23.3+36.4+60.9+22+815.8+1474.1+412+20.4+54.9+18.9+21.9+0.1+15.6+311.1+1694.5+1935.1+26.3+25.9+120.2+243.3+17.1+315.3+665.2+1876.2+71.1+29.7+42.5+5.2+78+29.4+120.4+583.5+424.3+1056.1+1600.5+1348.3+1.6+115.2+57.4+81.5+104.1+13.4+469.2+2448.2+10.2+19.3+11.7+43.2+14.5+11.6+13.1+36.9+2714.6+1411+0.2+11.1+73.5+89.9+1+1227.5+1388.6+65.7+32.7+7.5+39.6+25.7+4.6+117.3+8+19.8+253.2+5.1+3240+1249.1+6.5+0.3+69.3+21.8+23.3+4+47.2+982.2+4710.8+65.4+21.4+40.3+43.9+39+207.9+16+10.2+429.1+6414+3323.9+36.7-0.1+8.4+212.3+70.1+36.6+7.2+110.1+1542.8+2778.2+781.7+1+23.8+89.1+38.5+36.8</f>
        <v>59475.30000000001</v>
      </c>
      <c r="E90" s="3">
        <f>D90/D151*100</f>
        <v>6.620306757698999</v>
      </c>
      <c r="F90" s="3">
        <f aca="true" t="shared" si="10" ref="F90:F96">D90/B90*100</f>
        <v>62.86650804338429</v>
      </c>
      <c r="G90" s="3">
        <f t="shared" si="8"/>
        <v>37.581964286729836</v>
      </c>
      <c r="H90" s="47">
        <f aca="true" t="shared" si="11" ref="H90:H96">B90-D90</f>
        <v>35130.39999999999</v>
      </c>
      <c r="I90" s="47">
        <f t="shared" si="9"/>
        <v>98779.59999999998</v>
      </c>
    </row>
    <row r="91" spans="1:9" ht="18">
      <c r="A91" s="23" t="s">
        <v>3</v>
      </c>
      <c r="B91" s="42">
        <v>87574.6</v>
      </c>
      <c r="C91" s="43">
        <f>148246.2-137.7-228.3-64.5-80</f>
        <v>147735.7</v>
      </c>
      <c r="D91" s="44">
        <f>1016.5+861.2+216.8+0.1+15.6+1633.8+1584.8+610.3+2+34.8+60.4+677.1+1434.4+388.2+14.5+46.2+0.1+225.9+1690.4+1880.4+5.7+23.4+14.2+309.4+627.8+1876.2+1.4+2.8+20.2+321.2+999.1+1596.9+1340.8+29.5+22.6+10.8+458.4+2420.6+2.5+2587.3+1345.3+0.3+41.9+36.8+1215.7+1388.4+14.2+95.4+7.9+252.5+3183.2+1157.6+4.1+23.5+962.9+4695.9+34.7+9.5+23.7+39.5+291+6411.2+3323.9+8.4+81.5+40.9+31.5+108.3+1542+2643.1+767+1+87.4+20.3</f>
        <v>54954.80000000001</v>
      </c>
      <c r="E91" s="1">
        <f>D91/D90*100</f>
        <v>92.39936578714189</v>
      </c>
      <c r="F91" s="1">
        <f t="shared" si="10"/>
        <v>62.751985164648204</v>
      </c>
      <c r="G91" s="1">
        <f t="shared" si="8"/>
        <v>37.198050301992005</v>
      </c>
      <c r="H91" s="44">
        <f t="shared" si="11"/>
        <v>32619.799999999996</v>
      </c>
      <c r="I91" s="44">
        <f t="shared" si="9"/>
        <v>92780.9</v>
      </c>
    </row>
    <row r="92" spans="1:9" ht="18">
      <c r="A92" s="23" t="s">
        <v>26</v>
      </c>
      <c r="B92" s="42">
        <f>1734.9-265.3</f>
        <v>1469.6000000000001</v>
      </c>
      <c r="C92" s="43">
        <v>2620.6</v>
      </c>
      <c r="D92" s="44">
        <f>48.5+5.1+5+1.3+22.8+67.3+62.7+3.5+1.4+40.6+112.7+571.4+55.5+1.7+2.4+3.1+83.6+0.9+1.4+3.5+0.9+23.5+44.4+1+13.6+0.7-0.1+42.8+22.3</f>
        <v>1243.5000000000002</v>
      </c>
      <c r="E92" s="1">
        <f>D92/D90*100</f>
        <v>2.0907839052514237</v>
      </c>
      <c r="F92" s="1">
        <f t="shared" si="10"/>
        <v>84.61486118671748</v>
      </c>
      <c r="G92" s="1">
        <f t="shared" si="8"/>
        <v>47.45096542776464</v>
      </c>
      <c r="H92" s="44">
        <f t="shared" si="11"/>
        <v>226.0999999999999</v>
      </c>
      <c r="I92" s="44">
        <f t="shared" si="9"/>
        <v>1377.0999999999997</v>
      </c>
    </row>
    <row r="93" spans="1:9" ht="18" hidden="1">
      <c r="A93" s="23" t="s">
        <v>14</v>
      </c>
      <c r="B93" s="42"/>
      <c r="C93" s="43"/>
      <c r="D93" s="43"/>
      <c r="E93" s="12">
        <f>D93/D90*100</f>
        <v>0</v>
      </c>
      <c r="F93" s="1"/>
      <c r="G93" s="1" t="e">
        <f t="shared" si="8"/>
        <v>#DIV/0!</v>
      </c>
      <c r="H93" s="44">
        <f t="shared" si="11"/>
        <v>0</v>
      </c>
      <c r="I93" s="44">
        <f t="shared" si="9"/>
        <v>0</v>
      </c>
    </row>
    <row r="94" spans="1:9" ht="18.75" thickBot="1">
      <c r="A94" s="23" t="s">
        <v>28</v>
      </c>
      <c r="B94" s="43">
        <f>B90-B91-B92-B93</f>
        <v>5561.499999999991</v>
      </c>
      <c r="C94" s="43">
        <f>C90-C91-C92-C93</f>
        <v>7898.599999999982</v>
      </c>
      <c r="D94" s="43">
        <f>D90-D91-D92-D93</f>
        <v>3277</v>
      </c>
      <c r="E94" s="1">
        <f>D94/D90*100</f>
        <v>5.509850307606686</v>
      </c>
      <c r="F94" s="1">
        <f t="shared" si="10"/>
        <v>58.922952440888345</v>
      </c>
      <c r="G94" s="1">
        <f>D94/C94*100</f>
        <v>41.48836502671369</v>
      </c>
      <c r="H94" s="44">
        <f t="shared" si="11"/>
        <v>2284.499999999991</v>
      </c>
      <c r="I94" s="44">
        <f>C94-D94</f>
        <v>4621.599999999982</v>
      </c>
    </row>
    <row r="95" spans="1:9" ht="18.75">
      <c r="A95" s="108" t="s">
        <v>12</v>
      </c>
      <c r="B95" s="128">
        <f>38014.2-50+165-200</f>
        <v>37929.2</v>
      </c>
      <c r="C95" s="112">
        <f>59880.5+5316.8+172.8+165</f>
        <v>65535.100000000006</v>
      </c>
      <c r="D95" s="111">
        <f>158.8+434.4+321.9+32+1220.1+1621.7+82.6+1043.7+489.5+1835.3+427.5+91.3+190+524+63.3+11.3+68.3+293.9+953+327.8+2372.9+1+6.8+217.3+273.2+68.3-0.1+331.5+504+66.1+441.2+942.7+2276+81.9+57.4+38+675.8+274.5+35.7+263.7+3+29.9+269.5+461.5+44+1097.8+83.4+297.1+443.8+1.5+285.7+287.4+710.5+251.4+19.2+220.1+250.6+2+615.9+746.3+45.6+466.2+425.6+142.7+67.7+395.7+90+354.3+716.6+461.5+2+8.7+1653+100.2-0.1+799.4+672.8+360.8+1359.4+303.5+352.2+367.3+80.1</f>
        <v>34464.1</v>
      </c>
      <c r="E95" s="107">
        <f>D95/D151*100</f>
        <v>3.836263358537309</v>
      </c>
      <c r="F95" s="110">
        <f t="shared" si="10"/>
        <v>90.86429452769897</v>
      </c>
      <c r="G95" s="106">
        <f>D95/C95*100</f>
        <v>52.588765409681216</v>
      </c>
      <c r="H95" s="111">
        <f t="shared" si="11"/>
        <v>3465.0999999999985</v>
      </c>
      <c r="I95" s="121">
        <f>C95-D95</f>
        <v>31071.000000000007</v>
      </c>
    </row>
    <row r="96" spans="1:9" ht="18.75" thickBot="1">
      <c r="A96" s="109" t="s">
        <v>84</v>
      </c>
      <c r="B96" s="113">
        <v>5759</v>
      </c>
      <c r="C96" s="114">
        <f>10660.3-133.5+11.8</f>
        <v>10538.599999999999</v>
      </c>
      <c r="D96" s="115">
        <f>69.1+1043.7+68.3+1051.8+1+68.3+66.1+938.4+3+68.7+11.3+4.3+734+67.7+6.3+0.4+21.5+2.2+658.8+0.1+17.8+130.4</f>
        <v>5033.2</v>
      </c>
      <c r="E96" s="116">
        <f>D96/D95*100</f>
        <v>14.604182323055003</v>
      </c>
      <c r="F96" s="117">
        <f t="shared" si="10"/>
        <v>87.3971175551311</v>
      </c>
      <c r="G96" s="118">
        <f>D96/C96*100</f>
        <v>47.75966447156169</v>
      </c>
      <c r="H96" s="122">
        <f t="shared" si="11"/>
        <v>725.8000000000002</v>
      </c>
      <c r="I96" s="123">
        <f>C96-D96</f>
        <v>5505.399999999999</v>
      </c>
    </row>
    <row r="97" spans="1:9" ht="8.25" customHeight="1" thickBot="1">
      <c r="A97" s="18"/>
      <c r="B97" s="51"/>
      <c r="C97" s="60"/>
      <c r="D97" s="61"/>
      <c r="E97" s="6"/>
      <c r="F97" s="6"/>
      <c r="G97" s="6"/>
      <c r="H97" s="61"/>
      <c r="I97" s="61"/>
    </row>
    <row r="98" spans="1:9" ht="19.5" hidden="1" thickBot="1">
      <c r="A98" s="27" t="s">
        <v>38</v>
      </c>
      <c r="B98" s="68"/>
      <c r="C98" s="69"/>
      <c r="D98" s="70"/>
      <c r="E98" s="3">
        <f>D98/D151*100</f>
        <v>0</v>
      </c>
      <c r="F98" s="3"/>
      <c r="G98" s="3" t="e">
        <f>D98/C98*100</f>
        <v>#DIV/0!</v>
      </c>
      <c r="H98" s="47"/>
      <c r="I98" s="47">
        <f>C98-D98</f>
        <v>0</v>
      </c>
    </row>
    <row r="99" spans="1:9" ht="5.25" customHeight="1" hidden="1" thickBot="1">
      <c r="A99" s="26"/>
      <c r="B99" s="65"/>
      <c r="C99" s="66"/>
      <c r="D99" s="67"/>
      <c r="E99" s="14"/>
      <c r="F99" s="6"/>
      <c r="G99" s="6"/>
      <c r="H99" s="61"/>
      <c r="I99" s="120"/>
    </row>
    <row r="100" spans="1:9" s="15" customFormat="1" ht="36" customHeight="1" hidden="1" thickBot="1">
      <c r="A100" s="13" t="s">
        <v>52</v>
      </c>
      <c r="B100" s="54"/>
      <c r="C100" s="46"/>
      <c r="D100" s="47"/>
      <c r="E100" s="3">
        <f>D100/D151*100</f>
        <v>0</v>
      </c>
      <c r="F100" s="3" t="e">
        <f>D100/B100*100</f>
        <v>#DIV/0!</v>
      </c>
      <c r="G100" s="3" t="e">
        <f>D100/C100*100</f>
        <v>#DIV/0!</v>
      </c>
      <c r="H100" s="47">
        <f>B100-D100</f>
        <v>0</v>
      </c>
      <c r="I100" s="47">
        <f>C100-D100</f>
        <v>0</v>
      </c>
    </row>
    <row r="101" spans="1:9" ht="6.75" customHeight="1" hidden="1" thickBot="1">
      <c r="A101" s="100"/>
      <c r="B101" s="101"/>
      <c r="C101" s="66"/>
      <c r="D101" s="67"/>
      <c r="E101" s="14"/>
      <c r="F101" s="6"/>
      <c r="G101" s="6"/>
      <c r="H101" s="61"/>
      <c r="I101" s="120"/>
    </row>
    <row r="102" spans="1:9" s="37" customFormat="1" ht="19.5" thickBot="1">
      <c r="A102" s="13" t="s">
        <v>11</v>
      </c>
      <c r="B102" s="127">
        <f>7846.8+8.7</f>
        <v>7855.5</v>
      </c>
      <c r="C102" s="92">
        <f>12999.2-348+46.7-53.7+124.7-124.6+10.7+5.1+0.1</f>
        <v>12660.200000000003</v>
      </c>
      <c r="D102" s="79">
        <f>139.4+4+202+15.3+32.9+18.1+0.4+4+39.7+141.6+9.9+31.3+27.6+1.1+399+127.2+7.6+63.2+113+70.6+140+195.7+6.2+179.8+200.1+39.2+404.4+43.9+5.5+14.3+123.2+146.6+30.6+5+8.3+5+134.6+84.2+7.5+24+0.1+12.8+4.1+20+155.6+28+34.9+33.6+66.7+51.2+8+27.4+19.4-0.1+38.6+147.1+62.7+13.6+82.7+577.3+569.7+134.9+13.5+74.3+8.5+12.4+0.1+19.5+17.6+15.7+140.2+40.1+12.6+18.3+29.7+8+7+16.7+18.1</f>
        <v>5786.599999999999</v>
      </c>
      <c r="E102" s="19">
        <f>D102/D151*100</f>
        <v>0.644117256812509</v>
      </c>
      <c r="F102" s="19">
        <f>D102/B102*100</f>
        <v>73.66303863535101</v>
      </c>
      <c r="G102" s="19">
        <f aca="true" t="shared" si="12" ref="G102:G149">D102/C102*100</f>
        <v>45.70701884646371</v>
      </c>
      <c r="H102" s="79">
        <f aca="true" t="shared" si="13" ref="H102:H107">B102-D102</f>
        <v>2068.9000000000005</v>
      </c>
      <c r="I102" s="79">
        <f aca="true" t="shared" si="14" ref="I102:I149">C102-D102</f>
        <v>6873.600000000003</v>
      </c>
    </row>
    <row r="103" spans="1:9" ht="18">
      <c r="A103" s="23" t="s">
        <v>3</v>
      </c>
      <c r="B103" s="89">
        <v>145.5</v>
      </c>
      <c r="C103" s="87">
        <v>259.1</v>
      </c>
      <c r="D103" s="87">
        <f>17.3+10+11+0.1+10.9+18.9+0.1+11+25.2+18.3</f>
        <v>122.79999999999998</v>
      </c>
      <c r="E103" s="83">
        <f>D103/D102*100</f>
        <v>2.1221442643348425</v>
      </c>
      <c r="F103" s="1">
        <f>D103/B103*100</f>
        <v>84.39862542955325</v>
      </c>
      <c r="G103" s="83">
        <f>D103/C103*100</f>
        <v>47.394828251640284</v>
      </c>
      <c r="H103" s="87">
        <f t="shared" si="13"/>
        <v>22.700000000000017</v>
      </c>
      <c r="I103" s="87">
        <f t="shared" si="14"/>
        <v>136.30000000000004</v>
      </c>
    </row>
    <row r="104" spans="1:9" ht="18">
      <c r="A104" s="85" t="s">
        <v>49</v>
      </c>
      <c r="B104" s="74">
        <f>6441.8+8.7</f>
        <v>6450.5</v>
      </c>
      <c r="C104" s="44">
        <f>10720.8-348+46.7-56.3+125.1-124.6-51.5+5.1</f>
        <v>10317.300000000001</v>
      </c>
      <c r="D104" s="44">
        <f>139.3+4+202+15.3-0.1+4+25.4+141.4+9.8+31.2+1.1+390.1+50+2+0.1+51.6+111.9+69.9+132+193.8+143.3+175.1+39.1+393+24.9+117+131.2+30.6+5+5+134.6+137.3+5+34.9+31.2+66.7+136.1+61.2+82.4+574+566.9+64.7+43+15.7+140+40.1+6+29.7+8+7+16.7+18.1</f>
        <v>4858.299999999999</v>
      </c>
      <c r="E104" s="1">
        <f>D104/D102*100</f>
        <v>83.9577644903743</v>
      </c>
      <c r="F104" s="1">
        <f aca="true" t="shared" si="15" ref="F104:F149">D104/B104*100</f>
        <v>75.31664212076582</v>
      </c>
      <c r="G104" s="1">
        <f t="shared" si="12"/>
        <v>47.08887015013617</v>
      </c>
      <c r="H104" s="44">
        <f t="shared" si="13"/>
        <v>1592.2000000000007</v>
      </c>
      <c r="I104" s="44">
        <f t="shared" si="14"/>
        <v>5459.000000000002</v>
      </c>
    </row>
    <row r="105" spans="1:9" ht="54.75" hidden="1" thickBot="1">
      <c r="A105" s="86" t="s">
        <v>80</v>
      </c>
      <c r="B105" s="88"/>
      <c r="C105" s="88"/>
      <c r="D105" s="88"/>
      <c r="E105" s="84">
        <f>D105/D102*100</f>
        <v>0</v>
      </c>
      <c r="F105" s="84" t="e">
        <f>D105/B105*100</f>
        <v>#DIV/0!</v>
      </c>
      <c r="G105" s="84" t="e">
        <f>D105/C105*100</f>
        <v>#DIV/0!</v>
      </c>
      <c r="H105" s="123">
        <f t="shared" si="13"/>
        <v>0</v>
      </c>
      <c r="I105" s="123">
        <f>C105-D105</f>
        <v>0</v>
      </c>
    </row>
    <row r="106" spans="1:9" ht="18.75" thickBot="1">
      <c r="A106" s="86" t="s">
        <v>28</v>
      </c>
      <c r="B106" s="88">
        <f>B102-B103-B104</f>
        <v>1259.5</v>
      </c>
      <c r="C106" s="88">
        <f>C102-C103-C104</f>
        <v>2083.800000000001</v>
      </c>
      <c r="D106" s="88">
        <f>D102-D103-D104</f>
        <v>805.5</v>
      </c>
      <c r="E106" s="84">
        <f>D106/D102*100</f>
        <v>13.920091245290845</v>
      </c>
      <c r="F106" s="84">
        <f t="shared" si="15"/>
        <v>63.953949980150846</v>
      </c>
      <c r="G106" s="84">
        <f t="shared" si="12"/>
        <v>38.65534120357038</v>
      </c>
      <c r="H106" s="123">
        <f>B106-D106</f>
        <v>454</v>
      </c>
      <c r="I106" s="123">
        <f t="shared" si="14"/>
        <v>1278.300000000001</v>
      </c>
    </row>
    <row r="107" spans="1:9" s="2" customFormat="1" ht="26.25" customHeight="1" thickBot="1">
      <c r="A107" s="80" t="s">
        <v>29</v>
      </c>
      <c r="B107" s="81">
        <f>SUM(B108:B148)-B115-B119+B149-B140-B141-B109-B112-B122-B123-B138-B131-B129-B136</f>
        <v>233663.80000000002</v>
      </c>
      <c r="C107" s="81">
        <f>SUM(C108:C148)-C115-C119+C149-C140-C141-C109-C112-C122-C123-C138-C131-C129-C136</f>
        <v>529822.4</v>
      </c>
      <c r="D107" s="81">
        <f>SUM(D108:D148)-D115-D119+D149-D140-D141-D109-D112-D122-D123-D138-D131-D129-D136</f>
        <v>181340.09999999998</v>
      </c>
      <c r="E107" s="82">
        <f>D107/D151*100</f>
        <v>20.185305319549656</v>
      </c>
      <c r="F107" s="82">
        <f>D107/B107*100</f>
        <v>77.60727164413143</v>
      </c>
      <c r="G107" s="82">
        <f t="shared" si="12"/>
        <v>34.22658234155445</v>
      </c>
      <c r="H107" s="81">
        <f t="shared" si="13"/>
        <v>52323.70000000004</v>
      </c>
      <c r="I107" s="81">
        <f t="shared" si="14"/>
        <v>348482.30000000005</v>
      </c>
    </row>
    <row r="108" spans="1:9" ht="37.5">
      <c r="A108" s="28" t="s">
        <v>53</v>
      </c>
      <c r="B108" s="71">
        <v>2445.4</v>
      </c>
      <c r="C108" s="67">
        <v>4095.6</v>
      </c>
      <c r="D108" s="72">
        <f>12.6+3.2+110.8+149.9+0.1+86+66+19.9+30.9+1.3+4.4+3.9+8.5+1.6+0.1+167.2+12.2+0.7+2+1.4+0.1+115.6+14.7+10.7+8.1+0.6+3.1+4.1+2.8-0.2+122.3+40.3+0.6+1.6+1.5+0.1+131+0.3+1.6</f>
        <v>1141.6000000000001</v>
      </c>
      <c r="E108" s="6">
        <f>D108/D107*100</f>
        <v>0.6295353316778806</v>
      </c>
      <c r="F108" s="6">
        <f t="shared" si="15"/>
        <v>46.68356915024127</v>
      </c>
      <c r="G108" s="6">
        <f t="shared" si="12"/>
        <v>27.873815802324447</v>
      </c>
      <c r="H108" s="61">
        <f aca="true" t="shared" si="16" ref="H108:H149">B108-D108</f>
        <v>1303.8</v>
      </c>
      <c r="I108" s="61">
        <f t="shared" si="14"/>
        <v>2954</v>
      </c>
    </row>
    <row r="109" spans="1:9" ht="18">
      <c r="A109" s="23" t="s">
        <v>26</v>
      </c>
      <c r="B109" s="74">
        <v>1545.9</v>
      </c>
      <c r="C109" s="44">
        <v>2633.8</v>
      </c>
      <c r="D109" s="75">
        <f>68.3+138.7+47.8+60.9+18.1+30+81.4+40.6+14.7+2.7+31.2</f>
        <v>534.4000000000001</v>
      </c>
      <c r="E109" s="1">
        <f>D109/D108*100</f>
        <v>46.8114926419061</v>
      </c>
      <c r="F109" s="1">
        <f t="shared" si="15"/>
        <v>34.56885956400802</v>
      </c>
      <c r="G109" s="1">
        <f t="shared" si="12"/>
        <v>20.290075176550992</v>
      </c>
      <c r="H109" s="44">
        <f t="shared" si="16"/>
        <v>1011.5</v>
      </c>
      <c r="I109" s="44">
        <f t="shared" si="14"/>
        <v>2099.4</v>
      </c>
    </row>
    <row r="110" spans="1:9" ht="34.5" customHeight="1">
      <c r="A110" s="16" t="s">
        <v>79</v>
      </c>
      <c r="B110" s="73">
        <v>763.4</v>
      </c>
      <c r="C110" s="61">
        <v>1175.4</v>
      </c>
      <c r="D110" s="72">
        <f>11.8+87.5+28+44.4+7.5+8.9+32.2</f>
        <v>220.3</v>
      </c>
      <c r="E110" s="6">
        <f>D110/D107*100</f>
        <v>0.12148443725353633</v>
      </c>
      <c r="F110" s="6">
        <f>D110/B110*100</f>
        <v>28.85774168194918</v>
      </c>
      <c r="G110" s="6">
        <f t="shared" si="12"/>
        <v>18.742555725710396</v>
      </c>
      <c r="H110" s="61">
        <f t="shared" si="16"/>
        <v>543.0999999999999</v>
      </c>
      <c r="I110" s="61">
        <f t="shared" si="14"/>
        <v>955.1000000000001</v>
      </c>
    </row>
    <row r="111" spans="1:9" s="37" customFormat="1" ht="34.5" customHeight="1">
      <c r="A111" s="16" t="s">
        <v>98</v>
      </c>
      <c r="B111" s="73">
        <v>168.2</v>
      </c>
      <c r="C111" s="53">
        <v>196.7</v>
      </c>
      <c r="D111" s="76"/>
      <c r="E111" s="6">
        <f>D111/D107*100</f>
        <v>0</v>
      </c>
      <c r="F111" s="124">
        <f t="shared" si="15"/>
        <v>0</v>
      </c>
      <c r="G111" s="6">
        <f t="shared" si="12"/>
        <v>0</v>
      </c>
      <c r="H111" s="61">
        <f t="shared" si="16"/>
        <v>168.2</v>
      </c>
      <c r="I111" s="61">
        <f t="shared" si="14"/>
        <v>196.7</v>
      </c>
    </row>
    <row r="112" spans="1:9" ht="18" hidden="1">
      <c r="A112" s="23" t="s">
        <v>26</v>
      </c>
      <c r="B112" s="74"/>
      <c r="C112" s="44"/>
      <c r="D112" s="75"/>
      <c r="E112" s="1"/>
      <c r="F112" s="1" t="e">
        <f t="shared" si="15"/>
        <v>#DIV/0!</v>
      </c>
      <c r="G112" s="1" t="e">
        <f t="shared" si="12"/>
        <v>#DIV/0!</v>
      </c>
      <c r="H112" s="44">
        <f t="shared" si="16"/>
        <v>0</v>
      </c>
      <c r="I112" s="44">
        <f t="shared" si="14"/>
        <v>0</v>
      </c>
    </row>
    <row r="113" spans="1:9" ht="18.75">
      <c r="A113" s="16" t="s">
        <v>93</v>
      </c>
      <c r="B113" s="73">
        <v>60</v>
      </c>
      <c r="C113" s="61">
        <v>60</v>
      </c>
      <c r="D113" s="72">
        <f>9.1+9.1+9.8</f>
        <v>28</v>
      </c>
      <c r="E113" s="6">
        <f>D113/D107*100</f>
        <v>0.015440600286423137</v>
      </c>
      <c r="F113" s="6">
        <f t="shared" si="15"/>
        <v>46.666666666666664</v>
      </c>
      <c r="G113" s="6">
        <f t="shared" si="12"/>
        <v>46.666666666666664</v>
      </c>
      <c r="H113" s="61">
        <f t="shared" si="16"/>
        <v>32</v>
      </c>
      <c r="I113" s="61">
        <f t="shared" si="14"/>
        <v>32</v>
      </c>
    </row>
    <row r="114" spans="1:9" ht="37.5">
      <c r="A114" s="16" t="s">
        <v>39</v>
      </c>
      <c r="B114" s="73">
        <v>1760.5</v>
      </c>
      <c r="C114" s="61">
        <f>2915.4+6.2</f>
        <v>2921.6</v>
      </c>
      <c r="D114" s="72">
        <f>136.4+40+10+2+0.1+10.6+142+54.3+10.6+6.6+21.9+41.3+8.2+239.5+0.2+6.2+0.7+26.9+145.7+54.9+4+2+1.1+3.5+2.2+195.9+3.8+0.4+0.2+181.5+10+1.7+7.3</f>
        <v>1371.7000000000003</v>
      </c>
      <c r="E114" s="6">
        <f>D114/D107*100</f>
        <v>0.756423979031665</v>
      </c>
      <c r="F114" s="6">
        <f t="shared" si="15"/>
        <v>77.91536495313834</v>
      </c>
      <c r="G114" s="6">
        <f t="shared" si="12"/>
        <v>46.95030120481929</v>
      </c>
      <c r="H114" s="61">
        <f t="shared" si="16"/>
        <v>388.7999999999997</v>
      </c>
      <c r="I114" s="61">
        <f t="shared" si="14"/>
        <v>1549.8999999999996</v>
      </c>
    </row>
    <row r="115" spans="1:9" ht="18" hidden="1">
      <c r="A115" s="33" t="s">
        <v>44</v>
      </c>
      <c r="B115" s="74"/>
      <c r="C115" s="44"/>
      <c r="D115" s="75"/>
      <c r="E115" s="6"/>
      <c r="F115" s="6" t="e">
        <f t="shared" si="15"/>
        <v>#DIV/0!</v>
      </c>
      <c r="G115" s="1" t="e">
        <f t="shared" si="12"/>
        <v>#DIV/0!</v>
      </c>
      <c r="H115" s="44">
        <f t="shared" si="16"/>
        <v>0</v>
      </c>
      <c r="I115" s="44">
        <f t="shared" si="14"/>
        <v>0</v>
      </c>
    </row>
    <row r="116" spans="1:9" s="37" customFormat="1" ht="18.75" customHeight="1" hidden="1">
      <c r="A116" s="16" t="s">
        <v>94</v>
      </c>
      <c r="B116" s="73"/>
      <c r="C116" s="53"/>
      <c r="D116" s="76"/>
      <c r="E116" s="17">
        <f>D116/D107*100</f>
        <v>0</v>
      </c>
      <c r="F116" s="6" t="e">
        <f t="shared" si="15"/>
        <v>#DIV/0!</v>
      </c>
      <c r="G116" s="17" t="e">
        <f t="shared" si="12"/>
        <v>#DIV/0!</v>
      </c>
      <c r="H116" s="53">
        <f t="shared" si="16"/>
        <v>0</v>
      </c>
      <c r="I116" s="53">
        <f t="shared" si="14"/>
        <v>0</v>
      </c>
    </row>
    <row r="117" spans="1:9" ht="37.5">
      <c r="A117" s="16" t="s">
        <v>48</v>
      </c>
      <c r="B117" s="73">
        <v>99</v>
      </c>
      <c r="C117" s="61">
        <f>99+100</f>
        <v>199</v>
      </c>
      <c r="D117" s="72">
        <f>18</f>
        <v>18</v>
      </c>
      <c r="E117" s="6">
        <f>D117/D107*100</f>
        <v>0.00992610018412916</v>
      </c>
      <c r="F117" s="6">
        <f>D117/B117*100</f>
        <v>18.181818181818183</v>
      </c>
      <c r="G117" s="6">
        <f t="shared" si="12"/>
        <v>9.045226130653267</v>
      </c>
      <c r="H117" s="61">
        <f t="shared" si="16"/>
        <v>81</v>
      </c>
      <c r="I117" s="61">
        <f t="shared" si="14"/>
        <v>181</v>
      </c>
    </row>
    <row r="118" spans="1:9" s="2" customFormat="1" ht="18.75">
      <c r="A118" s="16" t="s">
        <v>15</v>
      </c>
      <c r="B118" s="73">
        <v>238.3</v>
      </c>
      <c r="C118" s="53">
        <v>422.8</v>
      </c>
      <c r="D118" s="72">
        <f>39+5+6.2+39.1+4.9+0.4+0.8+39+0.1+5.5+0.9+39+4.8+1.3+39-0.1+0.8+0.4+5+0.8+5.1</f>
        <v>237.00000000000009</v>
      </c>
      <c r="E118" s="6">
        <f>D118/D107*100</f>
        <v>0.1306936524243673</v>
      </c>
      <c r="F118" s="6">
        <f t="shared" si="15"/>
        <v>99.45446915652542</v>
      </c>
      <c r="G118" s="6">
        <f t="shared" si="12"/>
        <v>56.05487228003786</v>
      </c>
      <c r="H118" s="61">
        <f t="shared" si="16"/>
        <v>1.299999999999926</v>
      </c>
      <c r="I118" s="61">
        <f t="shared" si="14"/>
        <v>185.79999999999993</v>
      </c>
    </row>
    <row r="119" spans="1:9" s="32" customFormat="1" ht="18">
      <c r="A119" s="33" t="s">
        <v>44</v>
      </c>
      <c r="B119" s="74">
        <v>195.2</v>
      </c>
      <c r="C119" s="44">
        <v>351.4</v>
      </c>
      <c r="D119" s="75">
        <f>39+39.1+39+39.1+39</f>
        <v>195.2</v>
      </c>
      <c r="E119" s="1">
        <f>D119/D118*100</f>
        <v>82.36286919831221</v>
      </c>
      <c r="F119" s="1">
        <f t="shared" si="15"/>
        <v>100</v>
      </c>
      <c r="G119" s="1">
        <f t="shared" si="12"/>
        <v>55.54923164484917</v>
      </c>
      <c r="H119" s="44">
        <f t="shared" si="16"/>
        <v>0</v>
      </c>
      <c r="I119" s="44">
        <f t="shared" si="14"/>
        <v>156.2</v>
      </c>
    </row>
    <row r="120" spans="1:9" s="2" customFormat="1" ht="18.75" hidden="1">
      <c r="A120" s="16" t="s">
        <v>21</v>
      </c>
      <c r="B120" s="73"/>
      <c r="C120" s="53"/>
      <c r="D120" s="72"/>
      <c r="E120" s="6">
        <f>D120/D107*100</f>
        <v>0</v>
      </c>
      <c r="F120" s="6" t="e">
        <f t="shared" si="15"/>
        <v>#DIV/0!</v>
      </c>
      <c r="G120" s="6" t="e">
        <f t="shared" si="12"/>
        <v>#DIV/0!</v>
      </c>
      <c r="H120" s="61">
        <f t="shared" si="16"/>
        <v>0</v>
      </c>
      <c r="I120" s="61">
        <f t="shared" si="14"/>
        <v>0</v>
      </c>
    </row>
    <row r="121" spans="1:9" s="2" customFormat="1" ht="21.75" customHeight="1">
      <c r="A121" s="16" t="s">
        <v>99</v>
      </c>
      <c r="B121" s="73">
        <v>155</v>
      </c>
      <c r="C121" s="53">
        <v>520</v>
      </c>
      <c r="D121" s="76">
        <f>49.4+11+30.6</f>
        <v>91</v>
      </c>
      <c r="E121" s="17">
        <f>D121/D107*100</f>
        <v>0.0501819509308752</v>
      </c>
      <c r="F121" s="6">
        <f t="shared" si="15"/>
        <v>58.70967741935483</v>
      </c>
      <c r="G121" s="6">
        <f t="shared" si="12"/>
        <v>17.5</v>
      </c>
      <c r="H121" s="61">
        <f t="shared" si="16"/>
        <v>64</v>
      </c>
      <c r="I121" s="61">
        <f t="shared" si="14"/>
        <v>429</v>
      </c>
    </row>
    <row r="122" spans="1:9" s="102" customFormat="1" ht="18" hidden="1">
      <c r="A122" s="23" t="s">
        <v>81</v>
      </c>
      <c r="B122" s="74"/>
      <c r="C122" s="44"/>
      <c r="D122" s="75"/>
      <c r="E122" s="6"/>
      <c r="F122" s="103" t="e">
        <f>D122/B122*100</f>
        <v>#DIV/0!</v>
      </c>
      <c r="G122" s="1" t="e">
        <f t="shared" si="12"/>
        <v>#DIV/0!</v>
      </c>
      <c r="H122" s="44">
        <f t="shared" si="16"/>
        <v>0</v>
      </c>
      <c r="I122" s="44">
        <f t="shared" si="14"/>
        <v>0</v>
      </c>
    </row>
    <row r="123" spans="1:9" s="102" customFormat="1" ht="18" hidden="1">
      <c r="A123" s="23" t="s">
        <v>50</v>
      </c>
      <c r="B123" s="74"/>
      <c r="C123" s="44"/>
      <c r="D123" s="75"/>
      <c r="E123" s="6"/>
      <c r="F123" s="1" t="e">
        <f>D123/B123*100</f>
        <v>#DIV/0!</v>
      </c>
      <c r="G123" s="1" t="e">
        <f t="shared" si="12"/>
        <v>#DIV/0!</v>
      </c>
      <c r="H123" s="44">
        <f t="shared" si="16"/>
        <v>0</v>
      </c>
      <c r="I123" s="44">
        <f t="shared" si="14"/>
        <v>0</v>
      </c>
    </row>
    <row r="124" spans="1:9" s="2" customFormat="1" ht="37.5">
      <c r="A124" s="16" t="s">
        <v>100</v>
      </c>
      <c r="B124" s="73">
        <f>22896.2-200</f>
        <v>22696.2</v>
      </c>
      <c r="C124" s="53">
        <f>33585.8+9933.2-1212.8-350</f>
        <v>41956.2</v>
      </c>
      <c r="D124" s="76">
        <f>3483.8+2635.6+1853.3+812.9+1333.3+1694.1+1722.4+661.9+934+1328+225+1781.5+1097.2+0.1+1902.6</f>
        <v>21465.699999999997</v>
      </c>
      <c r="E124" s="17">
        <f>D124/D107*100</f>
        <v>11.837260484581181</v>
      </c>
      <c r="F124" s="6">
        <f t="shared" si="15"/>
        <v>94.57838757148772</v>
      </c>
      <c r="G124" s="6">
        <f t="shared" si="12"/>
        <v>51.16216435234839</v>
      </c>
      <c r="H124" s="61">
        <f t="shared" si="16"/>
        <v>1230.5000000000036</v>
      </c>
      <c r="I124" s="61">
        <f t="shared" si="14"/>
        <v>20490.5</v>
      </c>
    </row>
    <row r="125" spans="1:9" s="2" customFormat="1" ht="18.75">
      <c r="A125" s="16" t="s">
        <v>95</v>
      </c>
      <c r="B125" s="73">
        <v>695</v>
      </c>
      <c r="C125" s="53">
        <f>585+110</f>
        <v>695</v>
      </c>
      <c r="D125" s="76">
        <f>10+6</f>
        <v>16</v>
      </c>
      <c r="E125" s="17">
        <f>D125/D107*100</f>
        <v>0.008823200163670364</v>
      </c>
      <c r="F125" s="6">
        <f t="shared" si="15"/>
        <v>2.302158273381295</v>
      </c>
      <c r="G125" s="6">
        <f t="shared" si="12"/>
        <v>2.302158273381295</v>
      </c>
      <c r="H125" s="61">
        <f t="shared" si="16"/>
        <v>679</v>
      </c>
      <c r="I125" s="61">
        <f t="shared" si="14"/>
        <v>679</v>
      </c>
    </row>
    <row r="126" spans="1:12" s="2" customFormat="1" ht="37.5">
      <c r="A126" s="16" t="s">
        <v>105</v>
      </c>
      <c r="B126" s="73">
        <v>200</v>
      </c>
      <c r="C126" s="53">
        <v>200</v>
      </c>
      <c r="D126" s="76"/>
      <c r="E126" s="17">
        <f>D126/D107*100</f>
        <v>0</v>
      </c>
      <c r="F126" s="6">
        <f t="shared" si="15"/>
        <v>0</v>
      </c>
      <c r="G126" s="6">
        <f t="shared" si="12"/>
        <v>0</v>
      </c>
      <c r="H126" s="61">
        <f t="shared" si="16"/>
        <v>200</v>
      </c>
      <c r="I126" s="61">
        <f t="shared" si="14"/>
        <v>200</v>
      </c>
      <c r="L126" s="129"/>
    </row>
    <row r="127" spans="1:9" s="2" customFormat="1" ht="37.5">
      <c r="A127" s="16" t="s">
        <v>86</v>
      </c>
      <c r="B127" s="73">
        <v>81.6</v>
      </c>
      <c r="C127" s="53">
        <v>81.6</v>
      </c>
      <c r="D127" s="76">
        <v>19.7</v>
      </c>
      <c r="E127" s="17">
        <f>D127/D107*100</f>
        <v>0.010863565201519135</v>
      </c>
      <c r="F127" s="6">
        <f t="shared" si="15"/>
        <v>24.142156862745097</v>
      </c>
      <c r="G127" s="6">
        <f t="shared" si="12"/>
        <v>24.142156862745097</v>
      </c>
      <c r="H127" s="61">
        <f t="shared" si="16"/>
        <v>61.89999999999999</v>
      </c>
      <c r="I127" s="61">
        <f t="shared" si="14"/>
        <v>61.89999999999999</v>
      </c>
    </row>
    <row r="128" spans="1:9" s="2" customFormat="1" ht="37.5">
      <c r="A128" s="16" t="s">
        <v>58</v>
      </c>
      <c r="B128" s="73">
        <v>847.5</v>
      </c>
      <c r="C128" s="53">
        <v>1253.3</v>
      </c>
      <c r="D128" s="76">
        <f>6.5+6.7+0.9+10.2+6.4+2.4+29+2.5+26.7+1.1+7.5+20.9+3.3+0.1+0.1+0.6+54.3+6.4+19+0.1+6.4-0.1+0.9+1+0.1+24+11.8+60.3+1.8+4+2+10.5+0.5+0.1+1.1+56.8+0.1-0.1</f>
        <v>385.90000000000003</v>
      </c>
      <c r="E128" s="17">
        <f>D128/D107*100</f>
        <v>0.21280455894752462</v>
      </c>
      <c r="F128" s="6">
        <f t="shared" si="15"/>
        <v>45.53392330383481</v>
      </c>
      <c r="G128" s="6">
        <f t="shared" si="12"/>
        <v>30.790712518949974</v>
      </c>
      <c r="H128" s="61">
        <f t="shared" si="16"/>
        <v>461.59999999999997</v>
      </c>
      <c r="I128" s="61">
        <f t="shared" si="14"/>
        <v>867.3999999999999</v>
      </c>
    </row>
    <row r="129" spans="1:9" s="32" customFormat="1" ht="18">
      <c r="A129" s="23" t="s">
        <v>89</v>
      </c>
      <c r="B129" s="74">
        <v>231</v>
      </c>
      <c r="C129" s="44">
        <v>459.6</v>
      </c>
      <c r="D129" s="75">
        <f>6.4+6.4+6.4+6.4+6.4+24+6.4+56.8</f>
        <v>119.19999999999999</v>
      </c>
      <c r="E129" s="1">
        <f>D129/D128*100</f>
        <v>30.888831303446484</v>
      </c>
      <c r="F129" s="1">
        <f>D129/B129*100</f>
        <v>51.60173160173159</v>
      </c>
      <c r="G129" s="1">
        <f t="shared" si="12"/>
        <v>25.935596170583114</v>
      </c>
      <c r="H129" s="44">
        <f t="shared" si="16"/>
        <v>111.80000000000001</v>
      </c>
      <c r="I129" s="44">
        <f t="shared" si="14"/>
        <v>340.40000000000003</v>
      </c>
    </row>
    <row r="130" spans="1:9" s="2" customFormat="1" ht="37.5" hidden="1">
      <c r="A130" s="16" t="s">
        <v>96</v>
      </c>
      <c r="B130" s="73"/>
      <c r="C130" s="53"/>
      <c r="D130" s="76"/>
      <c r="E130" s="17">
        <f>D130/D107*100</f>
        <v>0</v>
      </c>
      <c r="F130" s="124" t="e">
        <f t="shared" si="15"/>
        <v>#DIV/0!</v>
      </c>
      <c r="G130" s="6" t="e">
        <f t="shared" si="12"/>
        <v>#DIV/0!</v>
      </c>
      <c r="H130" s="61">
        <f t="shared" si="16"/>
        <v>0</v>
      </c>
      <c r="I130" s="61">
        <f t="shared" si="14"/>
        <v>0</v>
      </c>
    </row>
    <row r="131" spans="1:9" s="32" customFormat="1" ht="18" hidden="1">
      <c r="A131" s="33" t="s">
        <v>44</v>
      </c>
      <c r="B131" s="74"/>
      <c r="C131" s="44"/>
      <c r="D131" s="75"/>
      <c r="E131" s="1"/>
      <c r="F131" s="1" t="e">
        <f>D131/B131*100</f>
        <v>#DIV/0!</v>
      </c>
      <c r="G131" s="1" t="e">
        <f t="shared" si="12"/>
        <v>#DIV/0!</v>
      </c>
      <c r="H131" s="44">
        <f t="shared" si="16"/>
        <v>0</v>
      </c>
      <c r="I131" s="44">
        <f t="shared" si="14"/>
        <v>0</v>
      </c>
    </row>
    <row r="132" spans="1:9" s="2" customFormat="1" ht="35.25" customHeight="1">
      <c r="A132" s="16" t="s">
        <v>107</v>
      </c>
      <c r="B132" s="73">
        <v>190</v>
      </c>
      <c r="C132" s="53">
        <v>190</v>
      </c>
      <c r="D132" s="76"/>
      <c r="E132" s="17">
        <f>D132/D107*100</f>
        <v>0</v>
      </c>
      <c r="F132" s="6">
        <f t="shared" si="15"/>
        <v>0</v>
      </c>
      <c r="G132" s="6">
        <f t="shared" si="12"/>
        <v>0</v>
      </c>
      <c r="H132" s="61">
        <f t="shared" si="16"/>
        <v>190</v>
      </c>
      <c r="I132" s="61">
        <f>C132-D132</f>
        <v>190</v>
      </c>
    </row>
    <row r="133" spans="1:9" s="2" customFormat="1" ht="21.75" customHeight="1">
      <c r="A133" s="16" t="s">
        <v>106</v>
      </c>
      <c r="B133" s="73">
        <v>0</v>
      </c>
      <c r="C133" s="53">
        <v>1</v>
      </c>
      <c r="D133" s="76"/>
      <c r="E133" s="17">
        <f>D133/D107*100</f>
        <v>0</v>
      </c>
      <c r="F133" s="124" t="e">
        <f t="shared" si="15"/>
        <v>#DIV/0!</v>
      </c>
      <c r="G133" s="6">
        <f t="shared" si="12"/>
        <v>0</v>
      </c>
      <c r="H133" s="61">
        <f t="shared" si="16"/>
        <v>0</v>
      </c>
      <c r="I133" s="61">
        <f t="shared" si="14"/>
        <v>1</v>
      </c>
    </row>
    <row r="134" spans="1:9" s="2" customFormat="1" ht="35.25" customHeight="1">
      <c r="A134" s="16" t="s">
        <v>88</v>
      </c>
      <c r="B134" s="73">
        <v>43.1</v>
      </c>
      <c r="C134" s="53">
        <v>108.1</v>
      </c>
      <c r="D134" s="76">
        <f>3.8+10.3+1.3</f>
        <v>15.400000000000002</v>
      </c>
      <c r="E134" s="17">
        <f>D134/D107*100</f>
        <v>0.008492330157532726</v>
      </c>
      <c r="F134" s="6">
        <f t="shared" si="15"/>
        <v>35.730858468677496</v>
      </c>
      <c r="G134" s="6">
        <f t="shared" si="12"/>
        <v>14.246068455134136</v>
      </c>
      <c r="H134" s="61">
        <f t="shared" si="16"/>
        <v>27.7</v>
      </c>
      <c r="I134" s="61">
        <f t="shared" si="14"/>
        <v>92.69999999999999</v>
      </c>
    </row>
    <row r="135" spans="1:9" s="2" customFormat="1" ht="39" customHeight="1">
      <c r="A135" s="16" t="s">
        <v>55</v>
      </c>
      <c r="B135" s="73">
        <v>295</v>
      </c>
      <c r="C135" s="53">
        <v>626.8</v>
      </c>
      <c r="D135" s="76">
        <f>1.2+14.1</f>
        <v>15.299999999999999</v>
      </c>
      <c r="E135" s="17">
        <f>D135/D107*100</f>
        <v>0.008437185156509786</v>
      </c>
      <c r="F135" s="6">
        <f t="shared" si="15"/>
        <v>5.186440677966101</v>
      </c>
      <c r="G135" s="6">
        <f t="shared" si="12"/>
        <v>2.4409700063816206</v>
      </c>
      <c r="H135" s="61">
        <f t="shared" si="16"/>
        <v>279.7</v>
      </c>
      <c r="I135" s="61">
        <f t="shared" si="14"/>
        <v>611.5</v>
      </c>
    </row>
    <row r="136" spans="1:9" s="32" customFormat="1" ht="18">
      <c r="A136" s="23" t="s">
        <v>89</v>
      </c>
      <c r="B136" s="74">
        <v>180</v>
      </c>
      <c r="C136" s="44">
        <v>400</v>
      </c>
      <c r="D136" s="75">
        <f>1.2</f>
        <v>1.2</v>
      </c>
      <c r="E136" s="1"/>
      <c r="F136" s="6">
        <f>D136/B136*100</f>
        <v>0.6666666666666666</v>
      </c>
      <c r="G136" s="1">
        <f>D136/C136*100</f>
        <v>0.3</v>
      </c>
      <c r="H136" s="44">
        <f>B136-D136</f>
        <v>178.8</v>
      </c>
      <c r="I136" s="44">
        <f>C136-D136</f>
        <v>398.8</v>
      </c>
    </row>
    <row r="137" spans="1:9" s="2" customFormat="1" ht="37.5">
      <c r="A137" s="16" t="s">
        <v>85</v>
      </c>
      <c r="B137" s="73">
        <v>248.3</v>
      </c>
      <c r="C137" s="53">
        <v>381.2</v>
      </c>
      <c r="D137" s="76">
        <f>0.5+1.3+15.9+33.5+3+0.6+15.2+1.3+36.5+1.9+0.3+0.3+0.6+5+2+16.5+0.1+0.5+1.2+18.6-0.1+0.3+0.5+0.5+16+2+17.3</f>
        <v>191.29999999999998</v>
      </c>
      <c r="E137" s="17">
        <f>D137/D107*100</f>
        <v>0.10549238695688379</v>
      </c>
      <c r="F137" s="6">
        <f t="shared" si="15"/>
        <v>77.04389850986708</v>
      </c>
      <c r="G137" s="6">
        <f>D137/C137*100</f>
        <v>50.18363064008394</v>
      </c>
      <c r="H137" s="61">
        <f t="shared" si="16"/>
        <v>57.00000000000003</v>
      </c>
      <c r="I137" s="61">
        <f t="shared" si="14"/>
        <v>189.9</v>
      </c>
    </row>
    <row r="138" spans="1:9" s="32" customFormat="1" ht="18">
      <c r="A138" s="23" t="s">
        <v>26</v>
      </c>
      <c r="B138" s="74">
        <v>201.4</v>
      </c>
      <c r="C138" s="44">
        <v>306.1</v>
      </c>
      <c r="D138" s="75">
        <f>15.9+33.5+15.2+36.5+0.3+4.6+16.5-0.1+1.2+16+0.3+16+0.1</f>
        <v>156</v>
      </c>
      <c r="E138" s="1">
        <f>D138/D137*100</f>
        <v>81.54730789336122</v>
      </c>
      <c r="F138" s="1">
        <f t="shared" si="15"/>
        <v>77.45779543197617</v>
      </c>
      <c r="G138" s="1">
        <f>D138/C138*100</f>
        <v>50.96373734073831</v>
      </c>
      <c r="H138" s="44">
        <f t="shared" si="16"/>
        <v>45.400000000000006</v>
      </c>
      <c r="I138" s="44">
        <f t="shared" si="14"/>
        <v>150.10000000000002</v>
      </c>
    </row>
    <row r="139" spans="1:9" s="2" customFormat="1" ht="18.75">
      <c r="A139" s="16" t="s">
        <v>101</v>
      </c>
      <c r="B139" s="73">
        <v>890.4</v>
      </c>
      <c r="C139" s="53">
        <f>1397.4+115.2</f>
        <v>1512.6000000000001</v>
      </c>
      <c r="D139" s="76">
        <f>26+59.9+0.4-0.1+0.1+27.3+5.8+57.7+6.3+46.3+13.6+50.5+6-0.1+43.3+3.1+0.2+52.2+16.7+42.4+4.7+8+55+5.3+39.2+0.5+5+82.1+95.1+0.2</f>
        <v>752.7</v>
      </c>
      <c r="E139" s="17">
        <f>D139/D107*100</f>
        <v>0.4150764226996677</v>
      </c>
      <c r="F139" s="6">
        <f t="shared" si="15"/>
        <v>84.53504043126685</v>
      </c>
      <c r="G139" s="6">
        <f t="shared" si="12"/>
        <v>49.76199920666402</v>
      </c>
      <c r="H139" s="61">
        <f t="shared" si="16"/>
        <v>137.69999999999993</v>
      </c>
      <c r="I139" s="61">
        <f t="shared" si="14"/>
        <v>759.9000000000001</v>
      </c>
    </row>
    <row r="140" spans="1:9" s="32" customFormat="1" ht="18">
      <c r="A140" s="33" t="s">
        <v>44</v>
      </c>
      <c r="B140" s="74">
        <v>679.9</v>
      </c>
      <c r="C140" s="44">
        <f>1063.5+115.2</f>
        <v>1178.7</v>
      </c>
      <c r="D140" s="75">
        <f>26+59.9+27.3+57.1-0.1+46.3+42.7-0.1+36.4+51.8+8.5+28+53.1+4.3+35.3+82.1+45.8</f>
        <v>604.4</v>
      </c>
      <c r="E140" s="1">
        <f>D140/D139*100</f>
        <v>80.29759532350205</v>
      </c>
      <c r="F140" s="1">
        <f aca="true" t="shared" si="17" ref="F140:F148">D140/B140*100</f>
        <v>88.89542579791146</v>
      </c>
      <c r="G140" s="1">
        <f t="shared" si="12"/>
        <v>51.2768304063799</v>
      </c>
      <c r="H140" s="44">
        <f t="shared" si="16"/>
        <v>75.5</v>
      </c>
      <c r="I140" s="44">
        <f t="shared" si="14"/>
        <v>574.3000000000001</v>
      </c>
    </row>
    <row r="141" spans="1:9" s="32" customFormat="1" ht="18">
      <c r="A141" s="23" t="s">
        <v>26</v>
      </c>
      <c r="B141" s="74">
        <v>24.5</v>
      </c>
      <c r="C141" s="44">
        <v>37.5</v>
      </c>
      <c r="D141" s="75">
        <f>0.4+5.6+0.6+6+0.1+3.7+0.1+0.4+1+0.3+0.3</f>
        <v>18.5</v>
      </c>
      <c r="E141" s="1">
        <f>D141/D139*100</f>
        <v>2.4578185199946856</v>
      </c>
      <c r="F141" s="1">
        <f t="shared" si="17"/>
        <v>75.51020408163265</v>
      </c>
      <c r="G141" s="1">
        <f>D141/C141*100</f>
        <v>49.333333333333336</v>
      </c>
      <c r="H141" s="44">
        <f t="shared" si="16"/>
        <v>6</v>
      </c>
      <c r="I141" s="44">
        <f t="shared" si="14"/>
        <v>19</v>
      </c>
    </row>
    <row r="142" spans="1:9" s="2" customFormat="1" ht="18.75" customHeight="1">
      <c r="A142" s="18" t="s">
        <v>57</v>
      </c>
      <c r="B142" s="73">
        <f>1452.5+200</f>
        <v>1652.5</v>
      </c>
      <c r="C142" s="53">
        <f>200+300+1250</f>
        <v>1750</v>
      </c>
      <c r="D142" s="76">
        <f>300+200</f>
        <v>500</v>
      </c>
      <c r="E142" s="17">
        <f>D142/D107*100</f>
        <v>0.2757250051146989</v>
      </c>
      <c r="F142" s="99">
        <f t="shared" si="17"/>
        <v>30.257186081694403</v>
      </c>
      <c r="G142" s="6">
        <f t="shared" si="12"/>
        <v>28.57142857142857</v>
      </c>
      <c r="H142" s="61">
        <f t="shared" si="16"/>
        <v>1152.5</v>
      </c>
      <c r="I142" s="61">
        <f t="shared" si="14"/>
        <v>1250</v>
      </c>
    </row>
    <row r="143" spans="1:9" s="2" customFormat="1" ht="18.75" hidden="1">
      <c r="A143" s="18" t="s">
        <v>97</v>
      </c>
      <c r="B143" s="73"/>
      <c r="C143" s="53"/>
      <c r="D143" s="76"/>
      <c r="E143" s="17">
        <f>D143/D107*100</f>
        <v>0</v>
      </c>
      <c r="F143" s="99" t="e">
        <f>D143/B143*100</f>
        <v>#DIV/0!</v>
      </c>
      <c r="G143" s="6" t="e">
        <f t="shared" si="12"/>
        <v>#DIV/0!</v>
      </c>
      <c r="H143" s="61">
        <f t="shared" si="16"/>
        <v>0</v>
      </c>
      <c r="I143" s="61">
        <f t="shared" si="14"/>
        <v>0</v>
      </c>
    </row>
    <row r="144" spans="1:9" s="2" customFormat="1" ht="18.75">
      <c r="A144" s="18" t="s">
        <v>102</v>
      </c>
      <c r="B144" s="73">
        <v>21941.5</v>
      </c>
      <c r="C144" s="53">
        <f>67967+150-2500-1878-220</f>
        <v>63519</v>
      </c>
      <c r="D144" s="76">
        <f>2189.1+2579.7+68.9+525.7+232.8+205.1+14+182+44.6+100.3+189.9+11.2+127+188.8+69.4+131.7+84.3+48.1+145.2+164.4+282.5+2057+0.1+4.7+884.5+257+126.5+89.5+69.2+64+1270.4+177.7+6.2+77.9+311.3-0.1+187.5+243.6+833.7+134.4+194.7+0.6+250.6-0.1+141.2+292.3+801.4+477.6+359.1+87.9+633.3+568.8+0.1+245.3+67.1+500+24.1+26.4+244.7</f>
        <v>19294.899999999998</v>
      </c>
      <c r="E144" s="17">
        <f>D144/D107*100</f>
        <v>10.640172802375206</v>
      </c>
      <c r="F144" s="99">
        <f t="shared" si="17"/>
        <v>87.93792584827837</v>
      </c>
      <c r="G144" s="6">
        <f t="shared" si="12"/>
        <v>30.376580235834943</v>
      </c>
      <c r="H144" s="61">
        <f t="shared" si="16"/>
        <v>2646.600000000002</v>
      </c>
      <c r="I144" s="61">
        <f t="shared" si="14"/>
        <v>44224.100000000006</v>
      </c>
    </row>
    <row r="145" spans="1:9" s="2" customFormat="1" ht="18.75" hidden="1">
      <c r="A145" s="18" t="s">
        <v>87</v>
      </c>
      <c r="B145" s="73"/>
      <c r="C145" s="53"/>
      <c r="D145" s="76"/>
      <c r="E145" s="17">
        <f>D145/D107*100</f>
        <v>0</v>
      </c>
      <c r="F145" s="99" t="e">
        <f t="shared" si="17"/>
        <v>#DIV/0!</v>
      </c>
      <c r="G145" s="6" t="e">
        <f t="shared" si="12"/>
        <v>#DIV/0!</v>
      </c>
      <c r="H145" s="61">
        <f t="shared" si="16"/>
        <v>0</v>
      </c>
      <c r="I145" s="61">
        <f t="shared" si="14"/>
        <v>0</v>
      </c>
    </row>
    <row r="146" spans="1:9" s="2" customFormat="1" ht="18.75">
      <c r="A146" s="16" t="s">
        <v>103</v>
      </c>
      <c r="B146" s="73">
        <f>125.3+1</f>
        <v>126.3</v>
      </c>
      <c r="C146" s="53">
        <v>234</v>
      </c>
      <c r="D146" s="76">
        <f>19.2+57.2</f>
        <v>76.4</v>
      </c>
      <c r="E146" s="17">
        <f>D146/D107*100</f>
        <v>0.042130780781525996</v>
      </c>
      <c r="F146" s="99">
        <f t="shared" si="17"/>
        <v>60.49089469517024</v>
      </c>
      <c r="G146" s="6">
        <f t="shared" si="12"/>
        <v>32.64957264957265</v>
      </c>
      <c r="H146" s="61">
        <f t="shared" si="16"/>
        <v>49.89999999999999</v>
      </c>
      <c r="I146" s="61">
        <f t="shared" si="14"/>
        <v>157.6</v>
      </c>
    </row>
    <row r="147" spans="1:12" s="2" customFormat="1" ht="18.75" customHeight="1">
      <c r="A147" s="16" t="s">
        <v>78</v>
      </c>
      <c r="B147" s="73">
        <f>6849.9+34.9</f>
        <v>6884.799999999999</v>
      </c>
      <c r="C147" s="53">
        <v>10550.8</v>
      </c>
      <c r="D147" s="76">
        <f>1601.8+39.7+92.5+565.2+121.3+853.6+638.8+424+800.9+24.5+1.5+318.7+33.7+748.2+470.6</f>
        <v>6734.999999999999</v>
      </c>
      <c r="E147" s="17">
        <f>D147/D107*100</f>
        <v>3.714015818894993</v>
      </c>
      <c r="F147" s="99">
        <f t="shared" si="17"/>
        <v>97.82419242389031</v>
      </c>
      <c r="G147" s="6">
        <f t="shared" si="12"/>
        <v>63.834022064677555</v>
      </c>
      <c r="H147" s="61">
        <f t="shared" si="16"/>
        <v>149.80000000000018</v>
      </c>
      <c r="I147" s="61">
        <f t="shared" si="14"/>
        <v>3815.8</v>
      </c>
      <c r="K147" s="38"/>
      <c r="L147" s="38"/>
    </row>
    <row r="148" spans="1:12" s="2" customFormat="1" ht="19.5" customHeight="1">
      <c r="A148" s="16" t="s">
        <v>51</v>
      </c>
      <c r="B148" s="73">
        <f>153791-172.9+364</f>
        <v>153982.1</v>
      </c>
      <c r="C148" s="53">
        <f>376354.8-1000+14285.9-198-200-300-15786.4-2950-2519.8</f>
        <v>367686.5</v>
      </c>
      <c r="D148" s="76">
        <f>69938.3+2324.7+1312.6+155+2603.6+1211+415+5415.4+691.3+550.4+1878.3+788.4+1157.7+1447.6+460+220+1003.2+463.4+1549.4+4235.7+2898+282.5+3333.1+1785.1+3361.2+0.1+766.9+2135.7</f>
        <v>112383.59999999999</v>
      </c>
      <c r="E148" s="17">
        <f>D148/D107*100</f>
        <v>61.973937369616536</v>
      </c>
      <c r="F148" s="6">
        <f t="shared" si="17"/>
        <v>72.98484694000146</v>
      </c>
      <c r="G148" s="6">
        <f t="shared" si="12"/>
        <v>30.56506018034385</v>
      </c>
      <c r="H148" s="61">
        <f t="shared" si="16"/>
        <v>41598.500000000015</v>
      </c>
      <c r="I148" s="61">
        <f t="shared" si="14"/>
        <v>255302.90000000002</v>
      </c>
      <c r="K148" s="91"/>
      <c r="L148" s="38"/>
    </row>
    <row r="149" spans="1:12" s="2" customFormat="1" ht="18.75">
      <c r="A149" s="16" t="s">
        <v>104</v>
      </c>
      <c r="B149" s="73">
        <v>17199.7</v>
      </c>
      <c r="C149" s="53">
        <v>29485.2</v>
      </c>
      <c r="D149" s="76">
        <f>819+819+819.1+819+819+819.1+819+819+819.1+819+819+819.1+819.1+819+819+819+819.1+819+819+819</f>
        <v>16380.6</v>
      </c>
      <c r="E149" s="17">
        <f>D149/D107*100</f>
        <v>9.033082037563673</v>
      </c>
      <c r="F149" s="6">
        <f t="shared" si="15"/>
        <v>95.23770763443548</v>
      </c>
      <c r="G149" s="6">
        <f t="shared" si="12"/>
        <v>55.5553294534207</v>
      </c>
      <c r="H149" s="61">
        <f t="shared" si="16"/>
        <v>819.1000000000004</v>
      </c>
      <c r="I149" s="61">
        <f t="shared" si="14"/>
        <v>13104.6</v>
      </c>
      <c r="K149" s="38"/>
      <c r="L149" s="38"/>
    </row>
    <row r="150" spans="1:12" s="2" customFormat="1" ht="19.5" thickBot="1">
      <c r="A150" s="34" t="s">
        <v>30</v>
      </c>
      <c r="B150" s="77">
        <f>B43+B69+B72+B77+B79+B87+B102+B107+B100+B84+B98</f>
        <v>244558.1</v>
      </c>
      <c r="C150" s="77">
        <f>C43+C69+C72+C77+C79+C87+C102+C107+C100+C84+C98</f>
        <v>546046.2000000001</v>
      </c>
      <c r="D150" s="53">
        <f>D43+D69+D72+D77+D79+D87+D102+D107+D100+D84+D98</f>
        <v>188508.99999999997</v>
      </c>
      <c r="E150" s="17"/>
      <c r="F150" s="17"/>
      <c r="G150" s="6"/>
      <c r="H150" s="61"/>
      <c r="I150" s="53"/>
      <c r="K150" s="38"/>
      <c r="L150" s="38"/>
    </row>
    <row r="151" spans="1:12" ht="19.5" thickBot="1">
      <c r="A151" s="13" t="s">
        <v>18</v>
      </c>
      <c r="B151" s="47">
        <f>B6+B18+B33+B43+B51+B59+B69+B72+B77+B79+B87+B90+B95+B102+B107+B100+B84+B98+B45</f>
        <v>1085059.8999999997</v>
      </c>
      <c r="C151" s="47">
        <f>C6+C18+C33+C43+C51+C59+C69+C72+C77+C79+C87+C90+C95+C102+C107+C100+C84+C98+C45</f>
        <v>1879695.5999999996</v>
      </c>
      <c r="D151" s="47">
        <f>D6+D18+D33+D43+D51+D59+D69+D72+D77+D79+D87+D90+D95+D102+D107+D100+D84+D98+D45</f>
        <v>898376.7999999999</v>
      </c>
      <c r="E151" s="31">
        <v>100</v>
      </c>
      <c r="F151" s="3">
        <f>D151/B151*100</f>
        <v>82.79513416724737</v>
      </c>
      <c r="G151" s="3">
        <f aca="true" t="shared" si="18" ref="G151:G157">D151/C151*100</f>
        <v>47.79373851808772</v>
      </c>
      <c r="H151" s="47">
        <f aca="true" t="shared" si="19" ref="H151:H157">B151-D151</f>
        <v>186683.09999999974</v>
      </c>
      <c r="I151" s="47">
        <f aca="true" t="shared" si="20" ref="I151:I157">C151-D151</f>
        <v>981318.7999999997</v>
      </c>
      <c r="K151" s="39"/>
      <c r="L151" s="40"/>
    </row>
    <row r="152" spans="1:12" ht="18.75">
      <c r="A152" s="18" t="s">
        <v>5</v>
      </c>
      <c r="B152" s="60">
        <f>B8+B20+B34+B52+B60+B91+B115+B119+B46+B140+B131+B103</f>
        <v>455758.0000000001</v>
      </c>
      <c r="C152" s="60">
        <f>C8+C20+C34+C52+C60+C91+C115+C119+C46+C140+C131+C103</f>
        <v>727911</v>
      </c>
      <c r="D152" s="60">
        <f>D8+D20+D34+D52+D60+D91+D115+D119+D46+D140+D131+D103</f>
        <v>384881.99999999994</v>
      </c>
      <c r="E152" s="6">
        <f>D152/D151*100</f>
        <v>42.84193447560088</v>
      </c>
      <c r="F152" s="6">
        <f aca="true" t="shared" si="21" ref="F152:F157">D152/B152*100</f>
        <v>84.4487644758841</v>
      </c>
      <c r="G152" s="6">
        <f t="shared" si="18"/>
        <v>52.87487069160927</v>
      </c>
      <c r="H152" s="61">
        <f t="shared" si="19"/>
        <v>70876.00000000017</v>
      </c>
      <c r="I152" s="72">
        <f t="shared" si="20"/>
        <v>343029.00000000006</v>
      </c>
      <c r="K152" s="39"/>
      <c r="L152" s="40"/>
    </row>
    <row r="153" spans="1:12" ht="18.75">
      <c r="A153" s="18" t="s">
        <v>0</v>
      </c>
      <c r="B153" s="61">
        <f>B11+B23+B36+B55+B62+B92+B49+B141+B109+B112+B96+B138</f>
        <v>64445.2</v>
      </c>
      <c r="C153" s="61">
        <f>C11+C23+C36+C55+C62+C92+C49+C141+C109+C112+C96+C138</f>
        <v>102323.1</v>
      </c>
      <c r="D153" s="61">
        <f>D11+D23+D36+D55+D62+D92+D49+D141+D109+D112+D96+D138</f>
        <v>54635.6</v>
      </c>
      <c r="E153" s="6">
        <f>D153/D151*100</f>
        <v>6.081590708931932</v>
      </c>
      <c r="F153" s="6">
        <f t="shared" si="21"/>
        <v>84.77838535686134</v>
      </c>
      <c r="G153" s="6">
        <f t="shared" si="18"/>
        <v>53.39517665121561</v>
      </c>
      <c r="H153" s="61">
        <f t="shared" si="19"/>
        <v>9809.599999999999</v>
      </c>
      <c r="I153" s="72">
        <f t="shared" si="20"/>
        <v>47687.50000000001</v>
      </c>
      <c r="K153" s="39"/>
      <c r="L153" s="90"/>
    </row>
    <row r="154" spans="1:12" ht="18.75">
      <c r="A154" s="18" t="s">
        <v>1</v>
      </c>
      <c r="B154" s="60">
        <f>B22+B10+B54+B48+B61+B35+B123</f>
        <v>19356.5</v>
      </c>
      <c r="C154" s="60">
        <f>C22+C10+C54+C48+C61+C35+C123</f>
        <v>28689.7</v>
      </c>
      <c r="D154" s="60">
        <f>D22+D10+D54+D48+D61+D35+D123</f>
        <v>18269.3</v>
      </c>
      <c r="E154" s="6">
        <f>D154/D151*100</f>
        <v>2.03358991461044</v>
      </c>
      <c r="F154" s="6">
        <f t="shared" si="21"/>
        <v>94.3832821016196</v>
      </c>
      <c r="G154" s="6">
        <f t="shared" si="18"/>
        <v>63.67895098240831</v>
      </c>
      <c r="H154" s="61">
        <f t="shared" si="19"/>
        <v>1087.2000000000007</v>
      </c>
      <c r="I154" s="72">
        <f t="shared" si="20"/>
        <v>10420.400000000001</v>
      </c>
      <c r="K154" s="39"/>
      <c r="L154" s="40"/>
    </row>
    <row r="155" spans="1:12" ht="21" customHeight="1">
      <c r="A155" s="18" t="s">
        <v>14</v>
      </c>
      <c r="B155" s="60">
        <f>B12+B24+B104+B63+B38+B93+B129+B56+B136</f>
        <v>17325.8</v>
      </c>
      <c r="C155" s="60">
        <f>C12+C24+C104+C63+C38+C93+C129+C56+C136</f>
        <v>29512.3</v>
      </c>
      <c r="D155" s="60">
        <f>D12+D24+D104+D63+D38+D93+D129+D56+D136</f>
        <v>12157.9</v>
      </c>
      <c r="E155" s="6">
        <f>D155/D151*100</f>
        <v>1.3533185629904958</v>
      </c>
      <c r="F155" s="6">
        <f t="shared" si="21"/>
        <v>70.17222869939627</v>
      </c>
      <c r="G155" s="6">
        <f t="shared" si="18"/>
        <v>41.19604368348113</v>
      </c>
      <c r="H155" s="61">
        <f>B155-D155</f>
        <v>5167.9</v>
      </c>
      <c r="I155" s="72">
        <f t="shared" si="20"/>
        <v>17354.4</v>
      </c>
      <c r="K155" s="39"/>
      <c r="L155" s="90"/>
    </row>
    <row r="156" spans="1:12" ht="18.75">
      <c r="A156" s="18" t="s">
        <v>2</v>
      </c>
      <c r="B156" s="60">
        <f>B9+B21+B47+B53+B122</f>
        <v>52.699999999999996</v>
      </c>
      <c r="C156" s="60">
        <f>C9+C21+C47+C53+C122</f>
        <v>106.9</v>
      </c>
      <c r="D156" s="60">
        <f>D9+D21+D47+D53+D122</f>
        <v>23.900000000000002</v>
      </c>
      <c r="E156" s="6">
        <f>D156/D151*100</f>
        <v>0.002660353651162853</v>
      </c>
      <c r="F156" s="6">
        <f t="shared" si="21"/>
        <v>45.351043643263765</v>
      </c>
      <c r="G156" s="6">
        <f t="shared" si="18"/>
        <v>22.35734331150608</v>
      </c>
      <c r="H156" s="61">
        <f t="shared" si="19"/>
        <v>28.799999999999994</v>
      </c>
      <c r="I156" s="72">
        <f t="shared" si="20"/>
        <v>83</v>
      </c>
      <c r="K156" s="39"/>
      <c r="L156" s="40"/>
    </row>
    <row r="157" spans="1:12" ht="19.5" thickBot="1">
      <c r="A157" s="125" t="s">
        <v>28</v>
      </c>
      <c r="B157" s="78">
        <f>B151-B152-B153-B154-B155-B156</f>
        <v>528121.6999999996</v>
      </c>
      <c r="C157" s="78">
        <f>C151-C152-C153-C154-C155-C156</f>
        <v>991152.5999999995</v>
      </c>
      <c r="D157" s="78">
        <f>D151-D152-D153-D154-D155-D156</f>
        <v>428408.1</v>
      </c>
      <c r="E157" s="36">
        <f>D157/D151*100</f>
        <v>47.68690598421509</v>
      </c>
      <c r="F157" s="36">
        <f t="shared" si="21"/>
        <v>81.11920036612779</v>
      </c>
      <c r="G157" s="36">
        <f t="shared" si="18"/>
        <v>43.223223144448205</v>
      </c>
      <c r="H157" s="126">
        <f t="shared" si="19"/>
        <v>99713.59999999963</v>
      </c>
      <c r="I157" s="126">
        <f t="shared" si="20"/>
        <v>562744.4999999995</v>
      </c>
      <c r="K157" s="39"/>
      <c r="L157" s="90"/>
    </row>
    <row r="158" spans="7:8" ht="12.75">
      <c r="G158" s="20"/>
      <c r="H158" s="20"/>
    </row>
    <row r="159" spans="7:9" ht="12.75">
      <c r="G159" s="20"/>
      <c r="H159" s="20"/>
      <c r="I159" s="20"/>
    </row>
    <row r="160" spans="7:8" ht="12.75">
      <c r="G160" s="20"/>
      <c r="H160" s="20"/>
    </row>
    <row r="161" spans="7:8" ht="12.75">
      <c r="G161" s="20"/>
      <c r="H161" s="20"/>
    </row>
    <row r="162" spans="7:8" ht="12.75">
      <c r="G162" s="20"/>
      <c r="H162" s="20"/>
    </row>
    <row r="163" spans="7:8" ht="12.75">
      <c r="G163" s="20"/>
      <c r="H163" s="20"/>
    </row>
    <row r="164" spans="2:8" ht="12.75">
      <c r="B164" s="130"/>
      <c r="C164" s="130"/>
      <c r="D164" s="130"/>
      <c r="G164" s="20"/>
      <c r="H164" s="20"/>
    </row>
    <row r="165" spans="7:8" ht="12.75">
      <c r="G165" s="20"/>
      <c r="H165" s="20"/>
    </row>
    <row r="166" spans="7:8" ht="12.75">
      <c r="G166" s="20"/>
      <c r="H166" s="20"/>
    </row>
    <row r="167" spans="7:8" ht="12.75">
      <c r="G167" s="20"/>
      <c r="H167" s="20"/>
    </row>
    <row r="168" spans="7:8" ht="12.75">
      <c r="G168" s="20"/>
      <c r="H168" s="20"/>
    </row>
    <row r="169" spans="7:8" ht="12.75">
      <c r="G169" s="20"/>
      <c r="H169" s="20"/>
    </row>
    <row r="170" spans="7:8" ht="12.75">
      <c r="G170" s="20"/>
      <c r="H170" s="20"/>
    </row>
    <row r="171" spans="7:8" ht="12.75">
      <c r="G171" s="20"/>
      <c r="H171" s="20"/>
    </row>
    <row r="172" spans="7:8" ht="12.75">
      <c r="G172" s="20"/>
      <c r="H172" s="20"/>
    </row>
    <row r="173" spans="7:8" ht="12.75">
      <c r="G173" s="20"/>
      <c r="H173" s="20"/>
    </row>
    <row r="174" spans="7:8" ht="12.75">
      <c r="G174" s="20"/>
      <c r="H174" s="20"/>
    </row>
    <row r="175" spans="7:8" ht="12.75">
      <c r="G175" s="20"/>
      <c r="H175" s="20"/>
    </row>
    <row r="176" spans="7:8" ht="12.75">
      <c r="G176" s="20"/>
      <c r="H176" s="20"/>
    </row>
    <row r="177" spans="7:8" ht="12.75">
      <c r="G177" s="20"/>
      <c r="H177" s="20"/>
    </row>
    <row r="178" spans="7:8" ht="12.75">
      <c r="G178" s="20"/>
      <c r="H178" s="20"/>
    </row>
    <row r="179" spans="7:8" ht="12.75">
      <c r="G179" s="20"/>
      <c r="H179" s="20"/>
    </row>
    <row r="180" spans="7:8" ht="12.75">
      <c r="G180" s="20"/>
      <c r="H180" s="20"/>
    </row>
    <row r="181" spans="7:8" ht="12.75">
      <c r="G181" s="20"/>
      <c r="H181" s="20"/>
    </row>
    <row r="182" spans="7:8" ht="12.75">
      <c r="G182" s="20"/>
      <c r="H182" s="20"/>
    </row>
    <row r="183" spans="7:8" ht="12.75">
      <c r="G183" s="20"/>
      <c r="H183" s="20"/>
    </row>
    <row r="184" spans="7:8" ht="12.75">
      <c r="G184" s="20"/>
      <c r="H184" s="20"/>
    </row>
    <row r="185" spans="7:8" ht="12.75">
      <c r="G185" s="20"/>
      <c r="H185" s="20"/>
    </row>
    <row r="186" spans="7:8" ht="12.75">
      <c r="G186" s="20"/>
      <c r="H186" s="20"/>
    </row>
    <row r="187" spans="7:8" ht="12.75">
      <c r="G187" s="20"/>
      <c r="H187" s="20"/>
    </row>
    <row r="188" spans="7:8" ht="12.75">
      <c r="G188" s="20"/>
      <c r="H188" s="20"/>
    </row>
    <row r="189" spans="7:8" ht="12.75">
      <c r="G189" s="20"/>
      <c r="H189" s="20"/>
    </row>
    <row r="190" spans="7:8" ht="12.75">
      <c r="G190" s="20"/>
      <c r="H190" s="20"/>
    </row>
    <row r="191" spans="7:8" ht="12.75">
      <c r="G191" s="20"/>
      <c r="H191" s="20"/>
    </row>
    <row r="192" spans="7:8" ht="12.75">
      <c r="G192" s="20"/>
      <c r="H192" s="20"/>
    </row>
    <row r="193" spans="7:8" ht="12.75">
      <c r="G193" s="20"/>
      <c r="H193" s="20"/>
    </row>
    <row r="194" spans="7:8" ht="12.75">
      <c r="G194" s="20"/>
      <c r="H194" s="20"/>
    </row>
    <row r="195" spans="7:8" ht="12.75">
      <c r="G195" s="20"/>
      <c r="H195" s="20"/>
    </row>
    <row r="196" spans="7:8" ht="12.75">
      <c r="G196" s="20"/>
      <c r="H196" s="20"/>
    </row>
    <row r="197" spans="7:8" ht="12.75">
      <c r="G197" s="20"/>
      <c r="H197" s="20"/>
    </row>
    <row r="198" spans="7:8" ht="12.75">
      <c r="G198" s="20"/>
      <c r="H198" s="20"/>
    </row>
    <row r="199" spans="7:8" ht="12.75">
      <c r="G199" s="20"/>
      <c r="H199" s="20"/>
    </row>
    <row r="200" spans="7:8" ht="12.75">
      <c r="G200" s="20"/>
      <c r="H200" s="20"/>
    </row>
    <row r="201" spans="7:8" ht="12.75">
      <c r="G201" s="20"/>
      <c r="H201" s="20"/>
    </row>
    <row r="202" spans="7:8" ht="12.75">
      <c r="G202" s="20"/>
      <c r="H202" s="20"/>
    </row>
    <row r="203" spans="7:8" ht="12.75">
      <c r="G203" s="20"/>
      <c r="H203" s="20"/>
    </row>
    <row r="204" spans="7:8" ht="12.75">
      <c r="G204" s="20"/>
      <c r="H204" s="20"/>
    </row>
    <row r="205" spans="7:8" ht="12.75">
      <c r="G205" s="20"/>
      <c r="H205" s="20"/>
    </row>
    <row r="206" spans="7:8" ht="12.75">
      <c r="G206" s="20"/>
      <c r="H206" s="20"/>
    </row>
    <row r="207" spans="7:8" ht="12.75">
      <c r="G207" s="20"/>
      <c r="H207" s="20"/>
    </row>
    <row r="208" spans="7:8" ht="12.75">
      <c r="G208" s="20"/>
      <c r="H208" s="20"/>
    </row>
    <row r="209" spans="7:8" ht="12.75">
      <c r="G209" s="20"/>
      <c r="H209" s="20"/>
    </row>
    <row r="210" spans="7:8" ht="12.75">
      <c r="G210" s="20"/>
      <c r="H210" s="20"/>
    </row>
    <row r="211" spans="7:8" ht="12.75">
      <c r="G211" s="20"/>
      <c r="H211" s="20"/>
    </row>
    <row r="212" spans="7:8" ht="12.75">
      <c r="G212" s="20"/>
      <c r="H212" s="20"/>
    </row>
    <row r="213" spans="7:8" ht="12.75">
      <c r="G213" s="20"/>
      <c r="H213" s="20"/>
    </row>
    <row r="214" spans="7:8" ht="12.75">
      <c r="G214" s="20"/>
      <c r="H214" s="20"/>
    </row>
    <row r="215" spans="7:8" ht="12.75">
      <c r="G215" s="20"/>
      <c r="H215" s="20"/>
    </row>
    <row r="216" spans="7:8" ht="12.75">
      <c r="G216" s="20"/>
      <c r="H216" s="20"/>
    </row>
    <row r="217" spans="7:8" ht="12.75">
      <c r="G217" s="20"/>
      <c r="H217" s="20"/>
    </row>
    <row r="218" spans="7:8" ht="12.75">
      <c r="G218" s="20"/>
      <c r="H218" s="20"/>
    </row>
    <row r="219" spans="7:8" ht="12.75">
      <c r="G219" s="20"/>
      <c r="H219" s="20"/>
    </row>
    <row r="220" spans="7:8" ht="12.75">
      <c r="G220" s="20"/>
      <c r="H220" s="20"/>
    </row>
    <row r="221" spans="7:8" ht="12.75">
      <c r="G221" s="20"/>
      <c r="H221" s="20"/>
    </row>
    <row r="222" spans="7:8" ht="12.75">
      <c r="G222" s="20"/>
      <c r="H222" s="20"/>
    </row>
    <row r="223" spans="7:8" ht="12.75">
      <c r="G223" s="20"/>
      <c r="H223" s="20"/>
    </row>
    <row r="224" spans="7:8" ht="12.75">
      <c r="G224" s="20"/>
      <c r="H224" s="20"/>
    </row>
    <row r="225" spans="7:8" ht="12.75">
      <c r="G225" s="20"/>
      <c r="H225" s="20"/>
    </row>
    <row r="226" spans="7:8" ht="12.75">
      <c r="G226" s="20"/>
      <c r="H226" s="20"/>
    </row>
    <row r="227" spans="7:8" ht="12.75">
      <c r="G227" s="20"/>
      <c r="H227" s="20"/>
    </row>
    <row r="228" spans="7:8" ht="12.75">
      <c r="G228" s="20"/>
      <c r="H228" s="20"/>
    </row>
    <row r="229" spans="7:8" ht="12.75">
      <c r="G229" s="20"/>
      <c r="H229" s="20"/>
    </row>
    <row r="230" spans="7:8" ht="12.75">
      <c r="G230" s="20"/>
      <c r="H230" s="20"/>
    </row>
    <row r="231" spans="7:8" ht="12.75">
      <c r="G231" s="20"/>
      <c r="H231" s="20"/>
    </row>
    <row r="232" spans="7:8" ht="12.75">
      <c r="G232" s="20"/>
      <c r="H232" s="20"/>
    </row>
    <row r="233" spans="7:8" ht="12.75">
      <c r="G233" s="20"/>
      <c r="H233" s="20"/>
    </row>
    <row r="234" spans="7:8" ht="12.75">
      <c r="G234" s="20"/>
      <c r="H234" s="20"/>
    </row>
    <row r="235" spans="7:8" ht="12.75">
      <c r="G235" s="20"/>
      <c r="H235" s="20"/>
    </row>
    <row r="236" spans="7:8" ht="12.75">
      <c r="G236" s="20"/>
      <c r="H236" s="20"/>
    </row>
    <row r="237" spans="7:8" ht="12.75">
      <c r="G237" s="20"/>
      <c r="H237" s="20"/>
    </row>
    <row r="238" spans="7:8" ht="12.75">
      <c r="G238" s="20"/>
      <c r="H238" s="20"/>
    </row>
    <row r="239" spans="7:8" ht="12.75">
      <c r="G239" s="20"/>
      <c r="H239" s="20"/>
    </row>
    <row r="240" spans="7:8" ht="12.75">
      <c r="G240" s="20"/>
      <c r="H240" s="20"/>
    </row>
    <row r="241" spans="7:8" ht="12.75">
      <c r="G241" s="20"/>
      <c r="H241" s="20"/>
    </row>
    <row r="242" spans="7:8" ht="12.75">
      <c r="G242" s="20"/>
      <c r="H242" s="20"/>
    </row>
    <row r="243" spans="7:8" ht="12.75">
      <c r="G243" s="20"/>
      <c r="H243" s="20"/>
    </row>
    <row r="244" spans="7:8" ht="12.75">
      <c r="G244" s="20"/>
      <c r="H244" s="20"/>
    </row>
    <row r="245" spans="7:8" ht="12.75">
      <c r="G245" s="20"/>
      <c r="H245" s="20"/>
    </row>
    <row r="246" spans="7:8" ht="12.75">
      <c r="G246" s="20"/>
      <c r="H246" s="20"/>
    </row>
    <row r="247" spans="7:8" ht="12.75">
      <c r="G247" s="20"/>
      <c r="H247" s="20"/>
    </row>
    <row r="248" spans="7:8" ht="12.75">
      <c r="G248" s="20"/>
      <c r="H248" s="20"/>
    </row>
    <row r="249" spans="7:8" ht="12.75">
      <c r="G249" s="20"/>
      <c r="H249" s="20"/>
    </row>
    <row r="250" spans="7:8" ht="12.75">
      <c r="G250" s="20"/>
      <c r="H250" s="20"/>
    </row>
    <row r="251" spans="7:8" ht="12.75">
      <c r="G251" s="20"/>
      <c r="H251" s="20"/>
    </row>
    <row r="252" spans="7:8" ht="12.75">
      <c r="G252" s="20"/>
      <c r="H252" s="20"/>
    </row>
    <row r="253" spans="7:8" ht="12.75">
      <c r="G253" s="20"/>
      <c r="H253" s="20"/>
    </row>
    <row r="254" spans="7:8" ht="12.75">
      <c r="G254" s="20"/>
      <c r="H254" s="20"/>
    </row>
    <row r="255" spans="7:8" ht="12.75">
      <c r="G255" s="20"/>
      <c r="H255" s="20"/>
    </row>
    <row r="256" spans="7:8" ht="12.75">
      <c r="G256" s="20"/>
      <c r="H256" s="20"/>
    </row>
    <row r="257" spans="7:8" ht="12.75">
      <c r="G257" s="20"/>
      <c r="H257" s="20"/>
    </row>
    <row r="258" spans="7:8" ht="12.75">
      <c r="G258" s="20"/>
      <c r="H258" s="20"/>
    </row>
    <row r="259" spans="7:8" ht="12.75">
      <c r="G259" s="20"/>
      <c r="H259" s="20"/>
    </row>
    <row r="260" spans="7:8" ht="12.75">
      <c r="G260" s="20"/>
      <c r="H260" s="20"/>
    </row>
    <row r="261" spans="7:8" ht="12.75">
      <c r="G261" s="20"/>
      <c r="H261" s="20"/>
    </row>
    <row r="262" spans="7:8" ht="12.75">
      <c r="G262" s="20"/>
      <c r="H262" s="20"/>
    </row>
    <row r="263" spans="7:8" ht="12.75">
      <c r="G263" s="20"/>
      <c r="H263" s="20"/>
    </row>
    <row r="264" spans="7:8" ht="12.75">
      <c r="G264" s="20"/>
      <c r="H264" s="20"/>
    </row>
    <row r="265" spans="7:8" ht="12.75">
      <c r="G265" s="20"/>
      <c r="H265" s="20"/>
    </row>
    <row r="266" spans="7:8" ht="12.75">
      <c r="G266" s="20"/>
      <c r="H266" s="20"/>
    </row>
    <row r="267" spans="7:8" ht="12.75">
      <c r="G267" s="20"/>
      <c r="H267" s="20"/>
    </row>
    <row r="268" spans="7:8" ht="12.75">
      <c r="G268" s="20"/>
      <c r="H268" s="20"/>
    </row>
    <row r="269" spans="7:8" ht="12.75">
      <c r="G269" s="20"/>
      <c r="H269" s="20"/>
    </row>
    <row r="270" spans="7:8" ht="12.75">
      <c r="G270" s="20"/>
      <c r="H270" s="20"/>
    </row>
    <row r="271" spans="7:8" ht="12.75">
      <c r="G271" s="20"/>
      <c r="H271" s="20"/>
    </row>
    <row r="272" spans="7:8" ht="12.75">
      <c r="G272" s="20"/>
      <c r="H272" s="20"/>
    </row>
    <row r="273" spans="7:8" ht="12.75">
      <c r="G273" s="20"/>
      <c r="H273" s="20"/>
    </row>
    <row r="274" spans="7:8" ht="12.75">
      <c r="G274" s="20"/>
      <c r="H274" s="20"/>
    </row>
    <row r="275" spans="7:8" ht="12.75">
      <c r="G275" s="20"/>
      <c r="H275" s="20"/>
    </row>
    <row r="276" spans="7:8" ht="12.75">
      <c r="G276" s="20"/>
      <c r="H276" s="20"/>
    </row>
    <row r="277" spans="7:8" ht="12.75">
      <c r="G277" s="20"/>
      <c r="H277" s="20"/>
    </row>
    <row r="278" spans="7:8" ht="12.75">
      <c r="G278" s="20"/>
      <c r="H278" s="20"/>
    </row>
    <row r="279" spans="7:8" ht="12.75">
      <c r="G279" s="20"/>
      <c r="H279" s="20"/>
    </row>
    <row r="280" spans="7:8" ht="12.75">
      <c r="G280" s="20"/>
      <c r="H280" s="20"/>
    </row>
    <row r="281" spans="7:8" ht="12.75">
      <c r="G281" s="20"/>
      <c r="H281" s="20"/>
    </row>
    <row r="282" spans="7:8" ht="12.75">
      <c r="G282" s="20"/>
      <c r="H282" s="20"/>
    </row>
    <row r="283" spans="7:8" ht="12.75">
      <c r="G283" s="20"/>
      <c r="H283" s="20"/>
    </row>
    <row r="284" spans="7:8" ht="12.75">
      <c r="G284" s="20"/>
      <c r="H284" s="20"/>
    </row>
    <row r="285" spans="7:8" ht="12.75">
      <c r="G285" s="20"/>
      <c r="H285" s="20"/>
    </row>
    <row r="286" spans="7:8" ht="12.75">
      <c r="G286" s="20"/>
      <c r="H286" s="20"/>
    </row>
    <row r="287" spans="7:8" ht="12.75">
      <c r="G287" s="20"/>
      <c r="H287" s="20"/>
    </row>
    <row r="288" spans="7:8" ht="12.75">
      <c r="G288" s="20"/>
      <c r="H288" s="20"/>
    </row>
    <row r="289" spans="7:8" ht="12.75">
      <c r="G289" s="20"/>
      <c r="H289" s="20"/>
    </row>
    <row r="290" spans="7:8" ht="12.75">
      <c r="G290" s="20"/>
      <c r="H290" s="20"/>
    </row>
    <row r="291" spans="7:8" ht="12.75">
      <c r="G291" s="20"/>
      <c r="H291" s="20"/>
    </row>
    <row r="292" spans="7:8" ht="12.75">
      <c r="G292" s="20"/>
      <c r="H292" s="20"/>
    </row>
    <row r="293" spans="7:8" ht="12.75">
      <c r="G293" s="20"/>
      <c r="H293" s="20"/>
    </row>
    <row r="294" spans="7:8" ht="12.75">
      <c r="G294" s="20"/>
      <c r="H294" s="20"/>
    </row>
    <row r="295" spans="7:8" ht="12.75">
      <c r="G295" s="20"/>
      <c r="H295" s="20"/>
    </row>
    <row r="296" spans="7:8" ht="12.75">
      <c r="G296" s="20"/>
      <c r="H296" s="20"/>
    </row>
    <row r="297" spans="7:8" ht="12.75">
      <c r="G297" s="20"/>
      <c r="H297" s="20"/>
    </row>
    <row r="298" spans="7:8" ht="12.75">
      <c r="G298" s="20"/>
      <c r="H298" s="20"/>
    </row>
    <row r="299" spans="7:8" ht="12.75">
      <c r="G299" s="20"/>
      <c r="H299" s="20"/>
    </row>
    <row r="300" spans="7:8" ht="12.75">
      <c r="G300" s="20"/>
      <c r="H300" s="20"/>
    </row>
    <row r="301" spans="7:8" ht="12.75">
      <c r="G301" s="20"/>
      <c r="H301" s="20"/>
    </row>
    <row r="302" spans="7:8" ht="12.75">
      <c r="G302" s="20"/>
      <c r="H302" s="20"/>
    </row>
    <row r="303" spans="7:8" ht="12.75">
      <c r="G303" s="20"/>
      <c r="H303" s="20"/>
    </row>
    <row r="304" spans="7:8" ht="12.75">
      <c r="G304" s="20"/>
      <c r="H304" s="20"/>
    </row>
    <row r="305" spans="7:8" ht="12.75">
      <c r="G305" s="20"/>
      <c r="H305" s="20"/>
    </row>
    <row r="306" spans="7:8" ht="12.75">
      <c r="G306" s="20"/>
      <c r="H306" s="20"/>
    </row>
    <row r="307" spans="7:8" ht="12.75">
      <c r="G307" s="20"/>
      <c r="H307" s="20"/>
    </row>
    <row r="308" spans="7:8" ht="12.75">
      <c r="G308" s="20"/>
      <c r="H308" s="20"/>
    </row>
    <row r="309" spans="7:8" ht="12.75">
      <c r="G309" s="20"/>
      <c r="H309" s="20"/>
    </row>
    <row r="310" spans="7:8" ht="12.75">
      <c r="G310" s="20"/>
      <c r="H310" s="20"/>
    </row>
    <row r="311" spans="7:8" ht="12.75">
      <c r="G311" s="20"/>
      <c r="H311" s="20"/>
    </row>
    <row r="312" spans="7:8" ht="12.75">
      <c r="G312" s="20"/>
      <c r="H312" s="20"/>
    </row>
    <row r="313" spans="7:8" ht="12.75">
      <c r="G313" s="20"/>
      <c r="H313" s="20"/>
    </row>
    <row r="314" spans="7:8" ht="12.75">
      <c r="G314" s="20"/>
      <c r="H314" s="20"/>
    </row>
    <row r="315" spans="7:8" ht="12.75">
      <c r="G315" s="20"/>
      <c r="H315" s="20"/>
    </row>
    <row r="316" spans="7:8" ht="12.75">
      <c r="G316" s="20"/>
      <c r="H316" s="20"/>
    </row>
    <row r="317" spans="7:8" ht="12.75">
      <c r="G317" s="20"/>
      <c r="H317" s="20"/>
    </row>
    <row r="318" spans="7:8" ht="12.75">
      <c r="G318" s="20"/>
      <c r="H318" s="20"/>
    </row>
    <row r="319" spans="7:8" ht="12.75">
      <c r="G319" s="20"/>
      <c r="H319" s="20"/>
    </row>
    <row r="320" spans="7:8" ht="12.75">
      <c r="G320" s="20"/>
      <c r="H320" s="20"/>
    </row>
    <row r="321" spans="7:8" ht="12.75">
      <c r="G321" s="20"/>
      <c r="H321" s="20"/>
    </row>
    <row r="322" spans="7:8" ht="12.75">
      <c r="G322" s="20"/>
      <c r="H322" s="20"/>
    </row>
    <row r="323" spans="7:8" ht="12.75">
      <c r="G323" s="20"/>
      <c r="H323" s="20"/>
    </row>
    <row r="324" spans="7:8" ht="12.75">
      <c r="G324" s="20"/>
      <c r="H324" s="20"/>
    </row>
    <row r="325" spans="7:8" ht="12.75">
      <c r="G325" s="20"/>
      <c r="H325" s="20"/>
    </row>
    <row r="326" spans="7:8" ht="12.75">
      <c r="G326" s="20"/>
      <c r="H326" s="20"/>
    </row>
    <row r="327" spans="7:8" ht="12.75">
      <c r="G327" s="20"/>
      <c r="H327" s="20"/>
    </row>
    <row r="328" spans="7:8" ht="12.75">
      <c r="G328" s="20"/>
      <c r="H328" s="20"/>
    </row>
    <row r="329" spans="7:8" ht="12.75">
      <c r="G329" s="20"/>
      <c r="H329" s="20"/>
    </row>
    <row r="330" spans="7:8" ht="12.75">
      <c r="G330" s="20"/>
      <c r="H330" s="20"/>
    </row>
    <row r="331" spans="7:8" ht="12.75">
      <c r="G331" s="20"/>
      <c r="H331" s="20"/>
    </row>
    <row r="332" spans="7:8" ht="12.75">
      <c r="G332" s="20"/>
      <c r="H332" s="20"/>
    </row>
    <row r="333" spans="7:8" ht="12.75">
      <c r="G333" s="20"/>
      <c r="H333" s="20"/>
    </row>
    <row r="334" spans="7:8" ht="12.75">
      <c r="G334" s="20"/>
      <c r="H334" s="20"/>
    </row>
    <row r="335" spans="7:8" ht="12.75">
      <c r="G335" s="20"/>
      <c r="H335" s="20"/>
    </row>
    <row r="336" spans="7:8" ht="12.75">
      <c r="G336" s="20"/>
      <c r="H336" s="20"/>
    </row>
    <row r="337" spans="7:8" ht="12.75">
      <c r="G337" s="20"/>
      <c r="H337" s="20"/>
    </row>
    <row r="338" spans="7:8" ht="12.75">
      <c r="G338" s="20"/>
      <c r="H338" s="20"/>
    </row>
    <row r="339" spans="7:8" ht="12.75">
      <c r="G339" s="20"/>
      <c r="H339" s="20"/>
    </row>
    <row r="340" spans="7:8" ht="12.75">
      <c r="G340" s="20"/>
      <c r="H340" s="20"/>
    </row>
    <row r="341" spans="7:8" ht="12.75">
      <c r="G341" s="20"/>
      <c r="H341" s="20"/>
    </row>
    <row r="342" spans="7:8" ht="12.75">
      <c r="G342" s="20"/>
      <c r="H342" s="20"/>
    </row>
    <row r="343" spans="7:8" ht="12.75">
      <c r="G343" s="20"/>
      <c r="H343" s="20"/>
    </row>
    <row r="344" spans="7:8" ht="12.75">
      <c r="G344" s="20"/>
      <c r="H344" s="20"/>
    </row>
    <row r="345" spans="7:8" ht="12.75">
      <c r="G345" s="20"/>
      <c r="H345" s="20"/>
    </row>
    <row r="346" spans="7:8" ht="12.75">
      <c r="G346" s="20"/>
      <c r="H346" s="20"/>
    </row>
    <row r="347" spans="7:8" ht="12.75">
      <c r="G347" s="20"/>
      <c r="H347" s="20"/>
    </row>
    <row r="348" spans="7:8" ht="12.75">
      <c r="G348" s="20"/>
      <c r="H348" s="20"/>
    </row>
    <row r="349" spans="7:8" ht="12.75">
      <c r="G349" s="20"/>
      <c r="H349" s="20"/>
    </row>
    <row r="350" spans="7:8" ht="12.75">
      <c r="G350" s="20"/>
      <c r="H350" s="20"/>
    </row>
    <row r="351" spans="7:8" ht="12.75">
      <c r="G351" s="20"/>
      <c r="H351" s="20"/>
    </row>
    <row r="352" spans="7:8" ht="12.75">
      <c r="G352" s="20"/>
      <c r="H352" s="20"/>
    </row>
    <row r="353" spans="7:8" ht="12.75">
      <c r="G353" s="20"/>
      <c r="H353" s="20"/>
    </row>
    <row r="354" spans="7:8" ht="12.75">
      <c r="G354" s="20"/>
      <c r="H354" s="20"/>
    </row>
    <row r="355" spans="7:8" ht="12.75">
      <c r="G355" s="20"/>
      <c r="H355" s="20"/>
    </row>
    <row r="356" spans="7:8" ht="12.75">
      <c r="G356" s="20"/>
      <c r="H356" s="20"/>
    </row>
    <row r="357" spans="7:8" ht="12.75">
      <c r="G357" s="20"/>
      <c r="H357" s="20"/>
    </row>
    <row r="358" spans="7:8" ht="12.75">
      <c r="G358" s="20"/>
      <c r="H358" s="20"/>
    </row>
    <row r="359" spans="7:8" ht="12.75">
      <c r="G359" s="20"/>
      <c r="H359" s="20"/>
    </row>
    <row r="360" spans="7:8" ht="12.75">
      <c r="G360" s="20"/>
      <c r="H360" s="20"/>
    </row>
    <row r="361" spans="7:8" ht="12.75">
      <c r="G361" s="20"/>
      <c r="H361" s="20"/>
    </row>
    <row r="362" spans="7:8" ht="12.75">
      <c r="G362" s="20"/>
      <c r="H362" s="20"/>
    </row>
    <row r="363" spans="7:8" ht="12.75">
      <c r="G363" s="20"/>
      <c r="H363" s="20"/>
    </row>
    <row r="364" spans="7:8" ht="12.75">
      <c r="G364" s="20"/>
      <c r="H364" s="20"/>
    </row>
    <row r="365" spans="7:8" ht="12.75">
      <c r="G365" s="20"/>
      <c r="H365" s="20"/>
    </row>
    <row r="366" spans="7:8" ht="12.75">
      <c r="G366" s="20"/>
      <c r="H366" s="20"/>
    </row>
    <row r="367" spans="7:8" ht="12.75">
      <c r="G367" s="20"/>
      <c r="H367" s="20"/>
    </row>
    <row r="368" spans="7:8" ht="12.75">
      <c r="G368" s="20"/>
      <c r="H368" s="20"/>
    </row>
    <row r="369" spans="7:8" ht="12.75">
      <c r="G369" s="20"/>
      <c r="H369" s="20"/>
    </row>
    <row r="370" spans="7:8" ht="12.75">
      <c r="G370" s="20"/>
      <c r="H370" s="20"/>
    </row>
    <row r="371" spans="7:8" ht="12.75">
      <c r="G371" s="20"/>
      <c r="H371" s="20"/>
    </row>
    <row r="372" spans="7:8" ht="12.75">
      <c r="G372" s="20"/>
      <c r="H372" s="20"/>
    </row>
    <row r="373" spans="7:8" ht="12.75">
      <c r="G373" s="20"/>
      <c r="H373" s="20"/>
    </row>
    <row r="374" spans="7:8" ht="12.75">
      <c r="G374" s="20"/>
      <c r="H374" s="20"/>
    </row>
    <row r="375" spans="7:8" ht="12.75">
      <c r="G375" s="20"/>
      <c r="H375" s="20"/>
    </row>
    <row r="376" spans="7:8" ht="12.75">
      <c r="G376" s="20"/>
      <c r="H376" s="20"/>
    </row>
    <row r="377" spans="7:8" ht="12.75">
      <c r="G377" s="20"/>
      <c r="H377" s="20"/>
    </row>
    <row r="378" spans="7:8" ht="12.75">
      <c r="G378" s="20"/>
      <c r="H378" s="20"/>
    </row>
    <row r="379" spans="7:8" ht="12.75">
      <c r="G379" s="20"/>
      <c r="H379" s="20"/>
    </row>
    <row r="380" spans="7:8" ht="12.75">
      <c r="G380" s="20"/>
      <c r="H380" s="20"/>
    </row>
    <row r="381" spans="7:8" ht="12.75">
      <c r="G381" s="20"/>
      <c r="H381" s="20"/>
    </row>
    <row r="382" spans="7:8" ht="12.75">
      <c r="G382" s="20"/>
      <c r="H382" s="20"/>
    </row>
    <row r="383" spans="7:8" ht="12.75">
      <c r="G383" s="20"/>
      <c r="H383" s="20"/>
    </row>
    <row r="384" spans="7:8" ht="12.75">
      <c r="G384" s="20"/>
      <c r="H384" s="20"/>
    </row>
    <row r="385" spans="7:8" ht="12.75">
      <c r="G385" s="20"/>
      <c r="H385" s="20"/>
    </row>
    <row r="386" spans="7:8" ht="12.75">
      <c r="G386" s="20"/>
      <c r="H386" s="20"/>
    </row>
    <row r="387" spans="7:8" ht="12.75">
      <c r="G387" s="20"/>
      <c r="H387" s="20"/>
    </row>
    <row r="388" spans="7:8" ht="12.75">
      <c r="G388" s="20"/>
      <c r="H388" s="20"/>
    </row>
    <row r="389" spans="7:8" ht="12.75">
      <c r="G389" s="20"/>
      <c r="H389" s="20"/>
    </row>
    <row r="390" spans="7:8" ht="12.75">
      <c r="G390" s="20"/>
      <c r="H390" s="20"/>
    </row>
    <row r="391" spans="7:8" ht="12.75">
      <c r="G391" s="20"/>
      <c r="H391" s="20"/>
    </row>
    <row r="392" spans="7:8" ht="12.75">
      <c r="G392" s="20"/>
      <c r="H392" s="20"/>
    </row>
    <row r="393" spans="7:8" ht="12.75">
      <c r="G393" s="20"/>
      <c r="H393" s="20"/>
    </row>
    <row r="394" spans="7:8" ht="12.75">
      <c r="G394" s="20"/>
      <c r="H394" s="20"/>
    </row>
    <row r="395" spans="7:8" ht="12.75">
      <c r="G395" s="20"/>
      <c r="H395" s="20"/>
    </row>
    <row r="396" spans="7:8" ht="12.75">
      <c r="G396" s="20"/>
      <c r="H396" s="20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1" operator="lessThan" stopIfTrue="1">
      <formula>0</formula>
    </cfRule>
  </conditionalFormatting>
  <conditionalFormatting sqref="H6:I157">
    <cfRule type="cellIs" priority="3" dxfId="2" operator="lessThan" stopIfTrue="1">
      <formula>0</formula>
    </cfRule>
  </conditionalFormatting>
  <printOptions/>
  <pageMargins left="0.57" right="0.16" top="0.2" bottom="0.19" header="0.17" footer="0.18"/>
  <pageSetup horizontalDpi="600" verticalDpi="600" orientation="portrait" paperSize="9" scale="4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S23" sqref="S23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898376.7999999999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6" sqref="R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16" sqref="S16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S23" sqref="S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17" sqref="R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S21" sqref="S21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R16" sqref="R16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33</v>
      </c>
      <c r="B1" s="4"/>
      <c r="C1" s="4"/>
      <c r="D1" s="4" t="s">
        <v>31</v>
      </c>
      <c r="E1" s="5">
        <f>'аналіз фінансування'!C151</f>
        <v>1879695.5999999996</v>
      </c>
    </row>
    <row r="2" spans="1:5" ht="15.75">
      <c r="A2" s="4"/>
      <c r="B2" s="4"/>
      <c r="C2" s="4"/>
      <c r="D2" s="4" t="s">
        <v>32</v>
      </c>
      <c r="E2" s="5">
        <f>'аналіз фінансування'!D151</f>
        <v>898376.7999999999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</cp:lastModifiedBy>
  <cp:lastPrinted>2017-07-06T09:25:02Z</cp:lastPrinted>
  <dcterms:created xsi:type="dcterms:W3CDTF">2000-06-20T04:48:00Z</dcterms:created>
  <dcterms:modified xsi:type="dcterms:W3CDTF">2017-07-20T13:44:57Z</dcterms:modified>
  <cp:category/>
  <cp:version/>
  <cp:contentType/>
  <cp:contentStatus/>
</cp:coreProperties>
</file>